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Academic Units\Funding\Sessional Funding\Sessional Funding Template\For Business Officers to upload on website\2024-25\"/>
    </mc:Choice>
  </mc:AlternateContent>
  <xr:revisionPtr revIDLastSave="0" documentId="13_ncr:1_{5D61CCF7-A5CE-4565-B50F-5050DB261C22}" xr6:coauthVersionLast="47" xr6:coauthVersionMax="47" xr10:uidLastSave="{00000000-0000-0000-0000-000000000000}"/>
  <bookViews>
    <workbookView xWindow="-120" yWindow="-120" windowWidth="29040" windowHeight="17640" xr2:uid="{00000000-000D-0000-FFFF-FFFF00000000}"/>
  </bookViews>
  <sheets>
    <sheet name="Instructions" sheetId="4" r:id="rId1"/>
    <sheet name="How To" sheetId="3" r:id="rId2"/>
    <sheet name="Calculation" sheetId="2" r:id="rId3"/>
  </sheets>
  <definedNames>
    <definedName name="_xlnm.Print_Area" localSheetId="2">Calculation!$A:$K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2" l="1"/>
  <c r="G59" i="2"/>
  <c r="F17" i="2" l="1"/>
  <c r="E18" i="2"/>
  <c r="F18" i="2" s="1"/>
  <c r="H13" i="2" l="1"/>
  <c r="D27" i="2" l="1"/>
  <c r="D29" i="2" l="1"/>
  <c r="D28" i="2"/>
  <c r="D51" i="2" l="1"/>
  <c r="D52" i="2"/>
  <c r="D50" i="2"/>
  <c r="D40" i="2"/>
  <c r="D41" i="2"/>
  <c r="D39" i="2"/>
  <c r="H17" i="2"/>
  <c r="H12" i="2" l="1"/>
  <c r="A46" i="2"/>
  <c r="B40" i="2"/>
  <c r="B41" i="2"/>
  <c r="B39" i="2"/>
  <c r="B50" i="2"/>
  <c r="B51" i="2"/>
  <c r="B52" i="2"/>
  <c r="J54" i="2"/>
  <c r="B31" i="2"/>
  <c r="C39" i="2" l="1"/>
  <c r="E39" i="2" s="1"/>
  <c r="C27" i="2"/>
  <c r="F27" i="2" s="1"/>
  <c r="B43" i="2"/>
  <c r="B54" i="2"/>
  <c r="H18" i="2"/>
  <c r="H19" i="2" s="1"/>
  <c r="A22" i="2" s="1"/>
  <c r="G50" i="2"/>
  <c r="G51" i="2"/>
  <c r="C50" i="2"/>
  <c r="C40" i="2" l="1"/>
  <c r="F40" i="2" s="1"/>
  <c r="F39" i="2"/>
  <c r="A35" i="2"/>
  <c r="G42" i="2" s="1"/>
  <c r="A23" i="2"/>
  <c r="A34" i="2"/>
  <c r="H27" i="2"/>
  <c r="G52" i="2"/>
  <c r="G54" i="2" s="1"/>
  <c r="E50" i="2"/>
  <c r="C51" i="2"/>
  <c r="F50" i="2"/>
  <c r="E27" i="2"/>
  <c r="C28" i="2"/>
  <c r="E40" i="2" l="1"/>
  <c r="C41" i="2"/>
  <c r="G31" i="2"/>
  <c r="G40" i="2"/>
  <c r="H40" i="2" s="1"/>
  <c r="G41" i="2"/>
  <c r="G39" i="2"/>
  <c r="F28" i="2"/>
  <c r="C29" i="2"/>
  <c r="E28" i="2"/>
  <c r="F41" i="2"/>
  <c r="C42" i="2"/>
  <c r="F42" i="2" s="1"/>
  <c r="H42" i="2" s="1"/>
  <c r="I27" i="2"/>
  <c r="F51" i="2"/>
  <c r="H51" i="2" s="1"/>
  <c r="E51" i="2"/>
  <c r="C52" i="2"/>
  <c r="I50" i="2"/>
  <c r="E41" i="2"/>
  <c r="H50" i="2"/>
  <c r="I40" i="2" l="1"/>
  <c r="J27" i="2"/>
  <c r="K27" i="2" s="1"/>
  <c r="I39" i="2"/>
  <c r="G43" i="2"/>
  <c r="H39" i="2"/>
  <c r="J39" i="2" s="1"/>
  <c r="J40" i="2" s="1"/>
  <c r="I51" i="2"/>
  <c r="K51" i="2" s="1"/>
  <c r="E42" i="2"/>
  <c r="I42" i="2" s="1"/>
  <c r="F52" i="2"/>
  <c r="C53" i="2"/>
  <c r="C54" i="2" s="1"/>
  <c r="E52" i="2"/>
  <c r="I41" i="2"/>
  <c r="I28" i="2"/>
  <c r="C43" i="2"/>
  <c r="C30" i="2"/>
  <c r="F29" i="2"/>
  <c r="H29" i="2" s="1"/>
  <c r="E29" i="2"/>
  <c r="H41" i="2"/>
  <c r="F43" i="2"/>
  <c r="K50" i="2"/>
  <c r="H28" i="2"/>
  <c r="K40" i="2" l="1"/>
  <c r="H43" i="2"/>
  <c r="K39" i="2"/>
  <c r="E43" i="2"/>
  <c r="H52" i="2"/>
  <c r="I29" i="2"/>
  <c r="I52" i="2"/>
  <c r="I43" i="2"/>
  <c r="F30" i="2"/>
  <c r="H30" i="2" s="1"/>
  <c r="H31" i="2" s="1"/>
  <c r="C31" i="2"/>
  <c r="E30" i="2"/>
  <c r="J28" i="2"/>
  <c r="J29" i="2" s="1"/>
  <c r="J41" i="2"/>
  <c r="F53" i="2"/>
  <c r="H53" i="2" s="1"/>
  <c r="E53" i="2"/>
  <c r="K28" i="2" l="1"/>
  <c r="F31" i="2"/>
  <c r="K52" i="2"/>
  <c r="F54" i="2"/>
  <c r="J42" i="2"/>
  <c r="K42" i="2" s="1"/>
  <c r="K29" i="2"/>
  <c r="K53" i="2"/>
  <c r="I53" i="2"/>
  <c r="I54" i="2" s="1"/>
  <c r="E54" i="2"/>
  <c r="I30" i="2"/>
  <c r="I31" i="2" s="1"/>
  <c r="J30" i="2"/>
  <c r="J31" i="2" s="1"/>
  <c r="K41" i="2"/>
  <c r="E31" i="2"/>
  <c r="H54" i="2"/>
  <c r="K30" i="2" l="1"/>
  <c r="K31" i="2" s="1"/>
  <c r="K54" i="2"/>
  <c r="J43" i="2"/>
  <c r="K4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Zammit</author>
  </authors>
  <commentList>
    <comment ref="E12" authorId="0" shapeId="0" xr:uid="{00000000-0006-0000-0200-000001000000}">
      <text>
        <r>
          <rPr>
            <sz val="9"/>
            <color indexed="81"/>
            <rFont val="Tahoma"/>
            <family val="2"/>
          </rPr>
          <t>enter June 30th salary, immediately before phase begins July 1</t>
        </r>
      </text>
    </comment>
    <comment ref="F12" authorId="0" shapeId="0" xr:uid="{00000000-0006-0000-0200-000002000000}">
      <text>
        <r>
          <rPr>
            <sz val="9"/>
            <color indexed="81"/>
            <rFont val="Tahoma"/>
            <family val="2"/>
          </rPr>
          <t>if cross appointed enter UTM Cost Distribution 0.00% (determines salary cost), or
100% if not cross appointed</t>
        </r>
      </text>
    </comment>
    <comment ref="G12" authorId="0" shapeId="0" xr:uid="{00000000-0006-0000-0200-000003000000}">
      <text>
        <r>
          <rPr>
            <b/>
            <sz val="9"/>
            <color indexed="81"/>
            <rFont val="Tahoma"/>
            <family val="2"/>
          </rPr>
          <t>Elizabeth Zammit:</t>
        </r>
        <r>
          <rPr>
            <sz val="9"/>
            <color indexed="81"/>
            <rFont val="Tahoma"/>
            <family val="2"/>
          </rPr>
          <t xml:space="preserve">
if cross appointed input UTM appointment or
100% if not cross appointed
</t>
        </r>
      </text>
    </comment>
    <comment ref="E16" authorId="0" shapeId="0" xr:uid="{00000000-0006-0000-0200-000004000000}">
      <text>
        <r>
          <rPr>
            <sz val="9"/>
            <color indexed="81"/>
            <rFont val="Tahoma"/>
            <family val="2"/>
          </rPr>
          <t>enter year "yyyy" joined pension 
enter year hired until final documents rec'd</t>
        </r>
      </text>
    </comment>
    <comment ref="E17" authorId="0" shapeId="0" xr:uid="{00000000-0006-0000-0200-000005000000}">
      <text>
        <r>
          <rPr>
            <sz val="9"/>
            <color indexed="81"/>
            <rFont val="Tahoma"/>
            <family val="2"/>
          </rPr>
          <t>enter year "yyyy" hired</t>
        </r>
      </text>
    </comment>
    <comment ref="D27" authorId="0" shapeId="0" xr:uid="{00000000-0006-0000-0200-000006000000}">
      <text>
        <r>
          <rPr>
            <sz val="9"/>
            <color indexed="81"/>
            <rFont val="Tahoma"/>
            <family val="2"/>
          </rPr>
          <t>insert annual total increase into formula by replacing "0" with amount of increase</t>
        </r>
      </text>
    </comment>
    <comment ref="D28" authorId="0" shapeId="0" xr:uid="{00000000-0006-0000-0200-000007000000}">
      <text>
        <r>
          <rPr>
            <sz val="9"/>
            <color indexed="81"/>
            <rFont val="Tahoma"/>
            <family val="2"/>
          </rPr>
          <t>insert annual total increase into formula by replacing "0" with amount of increase</t>
        </r>
      </text>
    </comment>
    <comment ref="D29" authorId="0" shapeId="0" xr:uid="{00000000-0006-0000-0200-000008000000}">
      <text>
        <r>
          <rPr>
            <sz val="9"/>
            <color indexed="81"/>
            <rFont val="Tahoma"/>
            <family val="2"/>
          </rPr>
          <t>insert annual total increase into formula by replacing "0" with amount of increase</t>
        </r>
      </text>
    </comment>
    <comment ref="E59" authorId="0" shapeId="0" xr:uid="{00000000-0006-0000-0200-000009000000}">
      <text>
        <r>
          <rPr>
            <sz val="9"/>
            <color indexed="81"/>
            <rFont val="Tahoma"/>
            <family val="2"/>
          </rPr>
          <t>insert current benefit rate as per budget</t>
        </r>
      </text>
    </comment>
    <comment ref="G59" authorId="0" shapeId="0" xr:uid="{00000000-0006-0000-0200-00000A000000}">
      <text>
        <r>
          <rPr>
            <sz val="9"/>
            <color indexed="81"/>
            <rFont val="Tahoma"/>
            <family val="2"/>
          </rPr>
          <t>insert current benefit rate as per budget</t>
        </r>
      </text>
    </comment>
    <comment ref="I59" authorId="0" shapeId="0" xr:uid="{00000000-0006-0000-0200-00000B000000}">
      <text>
        <r>
          <rPr>
            <sz val="9"/>
            <color indexed="81"/>
            <rFont val="Tahoma"/>
            <family val="2"/>
          </rPr>
          <t>insert current benefit rate as per budget</t>
        </r>
      </text>
    </comment>
    <comment ref="K59" authorId="0" shapeId="0" xr:uid="{00000000-0006-0000-0200-00000C000000}">
      <text>
        <r>
          <rPr>
            <sz val="9"/>
            <color indexed="81"/>
            <rFont val="Tahoma"/>
            <family val="2"/>
          </rPr>
          <t>insert current benefit rate as per budget</t>
        </r>
      </text>
    </comment>
  </commentList>
</comments>
</file>

<file path=xl/sharedStrings.xml><?xml version="1.0" encoding="utf-8"?>
<sst xmlns="http://schemas.openxmlformats.org/spreadsheetml/2006/main" count="200" uniqueCount="122">
  <si>
    <t>Phased Retirement Allowance Calculation</t>
  </si>
  <si>
    <t>Name:</t>
  </si>
  <si>
    <t>Personnel Number:</t>
  </si>
  <si>
    <t>Employment Date:</t>
  </si>
  <si>
    <t>Pension Enrolment:</t>
  </si>
  <si>
    <t>Start Date of Phased Retirement:</t>
  </si>
  <si>
    <t>Final Retirement Date:</t>
  </si>
  <si>
    <t>June 30th base salary</t>
  </si>
  <si>
    <t>immediately before start date:</t>
  </si>
  <si>
    <t>Maximum Amount Shelterable in RRSP</t>
  </si>
  <si>
    <t>Pre 1996 Employment Service - $2,000/year</t>
  </si>
  <si>
    <t>will be charged to the department in July at the beginning of each year of the phased retirement</t>
  </si>
  <si>
    <t>payroll</t>
  </si>
  <si>
    <t>Savings</t>
  </si>
  <si>
    <t>Total Cost</t>
  </si>
  <si>
    <t>All ATB and PTR transfers to the department are calculated at 100% salary not the phased reduction being paid.</t>
  </si>
  <si>
    <t>Option a)</t>
  </si>
  <si>
    <t>Option b)</t>
  </si>
  <si>
    <t>Option c)</t>
  </si>
  <si>
    <t>Budget</t>
  </si>
  <si>
    <t>Salary</t>
  </si>
  <si>
    <t>Actual</t>
  </si>
  <si>
    <t>Supplement</t>
  </si>
  <si>
    <t>Benefits</t>
  </si>
  <si>
    <t>Yes</t>
  </si>
  <si>
    <t>No</t>
  </si>
  <si>
    <t>Supplement/Total Retiring Allowance Available</t>
  </si>
  <si>
    <t>Benefit Rate used:</t>
  </si>
  <si>
    <t>Manual</t>
  </si>
  <si>
    <t>Reserve</t>
  </si>
  <si>
    <t>Saving after</t>
  </si>
  <si>
    <t>Pre 1989 Service - additional $1,500/year</t>
  </si>
  <si>
    <t>increase</t>
  </si>
  <si>
    <t>plus</t>
  </si>
  <si>
    <t>10/12ths</t>
  </si>
  <si>
    <t>Include</t>
  </si>
  <si>
    <t>Phased %</t>
  </si>
  <si>
    <t>Approved</t>
  </si>
  <si>
    <t>Department:</t>
  </si>
  <si>
    <t>will be charged to the department in June 30 at the end of the phased retirement</t>
  </si>
  <si>
    <t>RRSP will be charged to the department in June 30 at the end of the phased retirement</t>
  </si>
  <si>
    <t>Joined Pension Plan Membership</t>
  </si>
  <si>
    <r>
      <t xml:space="preserve">for any year </t>
    </r>
    <r>
      <rPr>
        <b/>
        <sz val="8"/>
        <rFont val="Arial"/>
        <family val="2"/>
      </rPr>
      <t>not a member</t>
    </r>
    <r>
      <rPr>
        <sz val="8"/>
        <rFont val="Arial"/>
        <family val="2"/>
      </rPr>
      <t xml:space="preserve"> of pension plan</t>
    </r>
  </si>
  <si>
    <t>Phased Retirement Salary and Benefit Cost Calculation - Introduction</t>
  </si>
  <si>
    <t>Department</t>
  </si>
  <si>
    <t>mm/dd/yy</t>
  </si>
  <si>
    <t>Pers Number</t>
  </si>
  <si>
    <t>When a faculty member's application for Phased Retirement has been approved a detailed schedule for the payout, based on the selection the faculty member made, will be forwarded to HR for processing in HRIS.</t>
  </si>
  <si>
    <t>This is the most difficult to plan for as the supplement is not paid until June 30 the year the faculty member retires. The department must ensure savings in year 1, 2 &amp; 3 cover the cost in year 4.</t>
  </si>
  <si>
    <t>Name of Retiree</t>
  </si>
  <si>
    <t>Cells shaded this colour on the "Calculation Tab" are revisable</t>
  </si>
  <si>
    <t>Cell</t>
  </si>
  <si>
    <t>F2</t>
  </si>
  <si>
    <t>Name of Faculty Member</t>
  </si>
  <si>
    <t>E3</t>
  </si>
  <si>
    <t>Personnel Number</t>
  </si>
  <si>
    <t>Employment Date</t>
  </si>
  <si>
    <t>Pension Enrolment Date</t>
  </si>
  <si>
    <t>Phased Retirement Start Date</t>
  </si>
  <si>
    <t>Final Retirement Date</t>
  </si>
  <si>
    <t>June 30th Salary before Phased retirement begins</t>
  </si>
  <si>
    <t>4 digit year joined pension plan</t>
  </si>
  <si>
    <t>4 digit year employment date</t>
  </si>
  <si>
    <t>Fiscal years for Phased Retirement period</t>
  </si>
  <si>
    <t>FTE % Appointment for Phased period</t>
  </si>
  <si>
    <t>Year 1 - ATB + PTR increase @ 100%</t>
  </si>
  <si>
    <t>Year 2 - ATB + PTR increase @ 100%</t>
  </si>
  <si>
    <t>Year 3 - ATB + PTR increase @ 100%</t>
  </si>
  <si>
    <t>E12</t>
  </si>
  <si>
    <t>F12</t>
  </si>
  <si>
    <t>E16</t>
  </si>
  <si>
    <t>E17</t>
  </si>
  <si>
    <t>A27-30</t>
  </si>
  <si>
    <t>B27-29</t>
  </si>
  <si>
    <t>Application for Phased Retirement</t>
  </si>
  <si>
    <t>HRIS</t>
  </si>
  <si>
    <t>ATB/PTR file from Business Services</t>
  </si>
  <si>
    <t>Information obtained by using this calculation template is to be considered an estimate</t>
  </si>
  <si>
    <t>D27*</t>
  </si>
  <si>
    <t>D28*</t>
  </si>
  <si>
    <t>D29*</t>
  </si>
  <si>
    <t>Calculations in this workbook are based on the ATB+PTR increases being updated during the fiscal year they become effective</t>
  </si>
  <si>
    <t>* enter the (atb+ptr) amount into the formula already in the cell replacing the "0" in "0*10/12"</t>
  </si>
  <si>
    <t>Cost distribution of cross appointed faculty members will also affect the actual amount of savings</t>
  </si>
  <si>
    <t>The department will continue to be funded for the faculty member at 100% of salary during the four fiscal year period of the Phased Retirement even though the faculty member will be paid at a reduced percentage.</t>
  </si>
  <si>
    <t>The department has received 100% of the faculty member's salary but paid out only the percentage approved.</t>
  </si>
  <si>
    <t>UTM Department Name</t>
  </si>
  <si>
    <t>There are 3 equal installments paid in July of each year of the phased retirement plan, no future payouts need to be planned for.</t>
  </si>
  <si>
    <t>For each year of the phased retirement a manual reserve in the amount indicated in the "Phased Retirement Allowance Calculation" should be set up.</t>
  </si>
  <si>
    <t>Because of the Shelterable RRSP that is paid out June 30 the year the faculty member retires a reserve of this payout will need to be set up in the same manner as indicated in Option "A" to make sure the funds are available when paid.</t>
  </si>
  <si>
    <t>Option B &amp; C atb+ptr amounts are linked to entries in Cells D27, D28 &amp; D29 in option A</t>
  </si>
  <si>
    <t>Retro payments dating back to a prior year will effect the actual saving achieved for that year and possibly the year after</t>
  </si>
  <si>
    <t>The 3 equal installments that are paid in addition to the Sheltered RRSP are done in the July pay of each year of the phased retirement, no additional planning for these funds should be required.</t>
  </si>
  <si>
    <t>For use with Options A &amp; B only:</t>
  </si>
  <si>
    <t>How to complete the Phased Retirement Calculation Worksheet</t>
  </si>
  <si>
    <t>The difference between the funding and the expense is used to make the payments for the July 1 installments and/or the lump sum payment at the end of the phased retirement period. Any funds that remain are used towards Stipend and Sessional Lecturer funding requests.</t>
  </si>
  <si>
    <t>Location of Information</t>
  </si>
  <si>
    <t>All figures except the supplement are affected annually by ATB &amp; PTR.</t>
  </si>
  <si>
    <t>Required Information</t>
  </si>
  <si>
    <t>UTM CD</t>
  </si>
  <si>
    <t>UTM Appt</t>
  </si>
  <si>
    <t>UTM $ Cost</t>
  </si>
  <si>
    <t>Salary Jun 30 before phase start</t>
  </si>
  <si>
    <t>RRSP payment if selected</t>
  </si>
  <si>
    <t>Total Retirement Allowance</t>
  </si>
  <si>
    <t>H4</t>
  </si>
  <si>
    <t>H5</t>
  </si>
  <si>
    <t>H6</t>
  </si>
  <si>
    <t>H8</t>
  </si>
  <si>
    <t>H9</t>
  </si>
  <si>
    <t>G12</t>
  </si>
  <si>
    <t>Cost Distribution charged to UTM at June 30 before phase starts</t>
  </si>
  <si>
    <t>Cross Appointment, UTM appointment percentage</t>
  </si>
  <si>
    <t>Contract</t>
  </si>
  <si>
    <t>HRIS, assume hire date</t>
  </si>
  <si>
    <t>2024-25</t>
  </si>
  <si>
    <t>2025-26</t>
  </si>
  <si>
    <t>2026-27</t>
  </si>
  <si>
    <t>2027-28</t>
  </si>
  <si>
    <r>
      <t xml:space="preserve">The  </t>
    </r>
    <r>
      <rPr>
        <sz val="10"/>
        <color rgb="FFFF0000"/>
        <rFont val="Arial"/>
        <family val="2"/>
      </rPr>
      <t>Three-Year Phased Retirement Program Notice of Intention form</t>
    </r>
    <r>
      <rPr>
        <sz val="10"/>
        <rFont val="Arial"/>
      </rPr>
      <t xml:space="preserve"> along with the </t>
    </r>
    <r>
      <rPr>
        <sz val="10"/>
        <color rgb="FFFF0000"/>
        <rFont val="Arial"/>
        <family val="2"/>
      </rPr>
      <t xml:space="preserve">Phased Retirement Allowance calculation spreadsheet </t>
    </r>
    <r>
      <rPr>
        <sz val="10"/>
        <rFont val="Arial"/>
      </rPr>
      <t>from Pension Services (expected that the Department has a copy), contains much of the necessary information to complete the 'Calculation' tab.</t>
    </r>
  </si>
  <si>
    <t xml:space="preserve"> Three-Year Phased Retirement Program Notice of Intention</t>
  </si>
  <si>
    <t xml:space="preserve">Phased Retirement Allowance calculation spreadsheet from Pension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</si>
</sst>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409]d\-mmm\-yyyy;@"/>
    <numFmt numFmtId="166" formatCode="0_);\(0\)"/>
  </numFmts>
  <fonts count="13" x14ac:knownFonts="1">
    <font>
      <sz val="10"/>
      <name val="Arial"/>
    </font>
    <font>
      <sz val="10"/>
      <name val="Arial"/>
      <family val="2"/>
    </font>
    <font>
      <sz val="8"/>
      <name val="Arial"/>
      <family val="2"/>
    </font>
    <font>
      <b/>
      <sz val="10"/>
      <name val="Arial"/>
      <family val="2"/>
    </font>
    <font>
      <b/>
      <sz val="8"/>
      <name val="Arial"/>
      <family val="2"/>
    </font>
    <font>
      <u/>
      <sz val="8"/>
      <name val="Arial"/>
      <family val="2"/>
    </font>
    <font>
      <b/>
      <sz val="8"/>
      <name val="Arial"/>
      <family val="2"/>
    </font>
    <font>
      <sz val="8"/>
      <name val="Arial"/>
      <family val="2"/>
    </font>
    <font>
      <sz val="9"/>
      <color indexed="81"/>
      <name val="Tahoma"/>
      <family val="2"/>
    </font>
    <font>
      <u/>
      <sz val="10"/>
      <name val="Arial"/>
      <family val="2"/>
    </font>
    <font>
      <b/>
      <u/>
      <sz val="10"/>
      <name val="Arial"/>
      <family val="2"/>
    </font>
    <font>
      <b/>
      <sz val="9"/>
      <color indexed="81"/>
      <name val="Tahoma"/>
      <family val="2"/>
    </font>
    <font>
      <sz val="10"/>
      <color rgb="FFFF0000"/>
      <name val="Arial"/>
      <family val="2"/>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Protection="1"/>
    <xf numFmtId="0" fontId="2" fillId="0" borderId="0" xfId="0" applyFont="1" applyAlignment="1" applyProtection="1">
      <alignment horizontal="right"/>
    </xf>
    <xf numFmtId="0" fontId="2" fillId="0" borderId="0" xfId="0" applyFont="1" applyFill="1" applyProtection="1"/>
    <xf numFmtId="165" fontId="2" fillId="0" borderId="0" xfId="0" applyNumberFormat="1" applyFont="1" applyProtection="1"/>
    <xf numFmtId="164" fontId="2" fillId="0" borderId="0" xfId="1" applyNumberFormat="1" applyFont="1" applyProtection="1"/>
    <xf numFmtId="9" fontId="2" fillId="0" borderId="0" xfId="2" applyNumberFormat="1" applyFont="1" applyProtection="1"/>
    <xf numFmtId="164" fontId="2" fillId="0" borderId="0" xfId="0" applyNumberFormat="1" applyFont="1" applyProtection="1"/>
    <xf numFmtId="14" fontId="2" fillId="0" borderId="0" xfId="0" applyNumberFormat="1" applyFont="1" applyProtection="1"/>
    <xf numFmtId="0" fontId="7" fillId="0" borderId="0" xfId="0" applyFont="1" applyProtection="1"/>
    <xf numFmtId="164" fontId="2" fillId="0" borderId="0" xfId="1" applyNumberFormat="1" applyFont="1" applyFill="1" applyProtection="1"/>
    <xf numFmtId="166" fontId="2" fillId="0" borderId="0" xfId="1" applyNumberFormat="1" applyFont="1" applyFill="1" applyProtection="1"/>
    <xf numFmtId="0" fontId="2" fillId="0" borderId="0" xfId="0" applyFont="1" applyAlignment="1" applyProtection="1">
      <alignment horizontal="left" indent="1"/>
    </xf>
    <xf numFmtId="164" fontId="2" fillId="0" borderId="3" xfId="0" applyNumberFormat="1" applyFont="1" applyBorder="1" applyProtection="1"/>
    <xf numFmtId="0" fontId="4" fillId="0" borderId="6" xfId="0" applyFont="1" applyFill="1" applyBorder="1" applyProtection="1"/>
    <xf numFmtId="0" fontId="6" fillId="0" borderId="7" xfId="0" applyFont="1" applyFill="1" applyBorder="1" applyProtection="1"/>
    <xf numFmtId="0" fontId="2" fillId="0" borderId="7" xfId="0" applyFont="1" applyFill="1" applyBorder="1" applyProtection="1"/>
    <xf numFmtId="0" fontId="2" fillId="0" borderId="4" xfId="0" applyFont="1" applyFill="1" applyBorder="1" applyAlignment="1" applyProtection="1">
      <alignment horizontal="center"/>
    </xf>
    <xf numFmtId="164" fontId="2" fillId="0" borderId="8" xfId="0" applyNumberFormat="1" applyFont="1" applyFill="1" applyBorder="1" applyProtection="1"/>
    <xf numFmtId="0" fontId="2" fillId="0" borderId="0" xfId="0" applyFont="1" applyFill="1" applyBorder="1" applyProtection="1"/>
    <xf numFmtId="0" fontId="2" fillId="0" borderId="9" xfId="0" applyFont="1" applyFill="1" applyBorder="1" applyAlignment="1" applyProtection="1">
      <alignment horizontal="center"/>
    </xf>
    <xf numFmtId="0" fontId="2" fillId="0" borderId="8" xfId="0" applyFont="1" applyFill="1" applyBorder="1" applyProtection="1"/>
    <xf numFmtId="0" fontId="2" fillId="0" borderId="0" xfId="0" applyFont="1" applyFill="1" applyBorder="1" applyAlignment="1" applyProtection="1">
      <alignment horizontal="center"/>
    </xf>
    <xf numFmtId="0" fontId="2" fillId="0" borderId="9" xfId="0" applyFont="1" applyFill="1" applyBorder="1" applyProtection="1"/>
    <xf numFmtId="0" fontId="2" fillId="0" borderId="0" xfId="0" applyFont="1" applyFill="1" applyBorder="1" applyAlignment="1" applyProtection="1">
      <alignment horizontal="right" wrapText="1"/>
    </xf>
    <xf numFmtId="0" fontId="2" fillId="0" borderId="0" xfId="0" applyFont="1" applyFill="1" applyBorder="1" applyAlignment="1" applyProtection="1">
      <alignment horizontal="right"/>
    </xf>
    <xf numFmtId="0" fontId="2" fillId="0" borderId="9" xfId="0" applyFont="1" applyFill="1" applyBorder="1" applyAlignment="1" applyProtection="1">
      <alignment horizontal="right"/>
    </xf>
    <xf numFmtId="0" fontId="2" fillId="0" borderId="8" xfId="0" applyFont="1" applyFill="1" applyBorder="1" applyAlignment="1" applyProtection="1">
      <alignment wrapText="1"/>
    </xf>
    <xf numFmtId="0" fontId="5" fillId="0" borderId="0" xfId="0" applyFont="1" applyFill="1" applyBorder="1" applyAlignment="1" applyProtection="1">
      <alignment horizontal="right" wrapText="1"/>
    </xf>
    <xf numFmtId="0" fontId="5" fillId="0" borderId="0" xfId="0" applyFont="1" applyFill="1" applyBorder="1" applyAlignment="1" applyProtection="1">
      <alignment horizontal="right"/>
    </xf>
    <xf numFmtId="0" fontId="5" fillId="0" borderId="0" xfId="0" applyFont="1" applyFill="1" applyBorder="1" applyAlignment="1" applyProtection="1">
      <alignment horizontal="center"/>
    </xf>
    <xf numFmtId="0" fontId="5" fillId="0" borderId="9" xfId="0" applyFont="1" applyFill="1" applyBorder="1" applyAlignment="1" applyProtection="1">
      <alignment horizontal="right"/>
    </xf>
    <xf numFmtId="164" fontId="2" fillId="0" borderId="0" xfId="1" applyNumberFormat="1" applyFont="1" applyFill="1" applyBorder="1" applyProtection="1"/>
    <xf numFmtId="164" fontId="2" fillId="0" borderId="9" xfId="0" applyNumberFormat="1" applyFont="1" applyFill="1" applyBorder="1" applyProtection="1"/>
    <xf numFmtId="164" fontId="2" fillId="0" borderId="1" xfId="1" applyNumberFormat="1" applyFont="1" applyFill="1" applyBorder="1" applyProtection="1"/>
    <xf numFmtId="164" fontId="2" fillId="0" borderId="10" xfId="0" applyNumberFormat="1" applyFont="1" applyFill="1" applyBorder="1" applyProtection="1"/>
    <xf numFmtId="164" fontId="2" fillId="0" borderId="0" xfId="0" applyNumberFormat="1" applyFont="1" applyFill="1" applyBorder="1" applyProtection="1"/>
    <xf numFmtId="0" fontId="2" fillId="0" borderId="11" xfId="0" applyFont="1" applyBorder="1" applyProtection="1"/>
    <xf numFmtId="0" fontId="2" fillId="0" borderId="1" xfId="0" applyFont="1" applyBorder="1" applyProtection="1"/>
    <xf numFmtId="0" fontId="2" fillId="0" borderId="1" xfId="0" applyFont="1" applyBorder="1" applyAlignment="1" applyProtection="1">
      <alignment horizontal="center"/>
    </xf>
    <xf numFmtId="0" fontId="2" fillId="0" borderId="10" xfId="0" applyFont="1" applyBorder="1" applyProtection="1"/>
    <xf numFmtId="0" fontId="4" fillId="0" borderId="6" xfId="0" applyFont="1" applyBorder="1" applyProtection="1"/>
    <xf numFmtId="0" fontId="6" fillId="0" borderId="7" xfId="0" applyFont="1" applyBorder="1" applyProtection="1"/>
    <xf numFmtId="0" fontId="2" fillId="0" borderId="7" xfId="0" applyFont="1" applyBorder="1" applyProtection="1"/>
    <xf numFmtId="0" fontId="2" fillId="0" borderId="4" xfId="0" applyFont="1" applyBorder="1" applyAlignment="1" applyProtection="1">
      <alignment horizontal="center"/>
    </xf>
    <xf numFmtId="164" fontId="2" fillId="0" borderId="8" xfId="1" applyNumberFormat="1" applyFont="1" applyBorder="1" applyProtection="1"/>
    <xf numFmtId="0" fontId="2" fillId="0" borderId="0" xfId="0" applyFont="1" applyBorder="1" applyProtection="1"/>
    <xf numFmtId="0" fontId="2" fillId="0" borderId="9" xfId="0" applyFont="1" applyBorder="1" applyAlignment="1" applyProtection="1">
      <alignment horizontal="center"/>
    </xf>
    <xf numFmtId="0" fontId="2" fillId="0" borderId="8" xfId="0" applyFont="1" applyBorder="1" applyProtection="1"/>
    <xf numFmtId="0" fontId="2" fillId="0" borderId="8" xfId="0" applyFont="1" applyBorder="1" applyAlignment="1" applyProtection="1">
      <alignment wrapText="1"/>
    </xf>
    <xf numFmtId="0" fontId="2" fillId="0" borderId="0" xfId="0" applyFont="1" applyBorder="1" applyAlignment="1" applyProtection="1">
      <alignment horizontal="center"/>
    </xf>
    <xf numFmtId="0" fontId="2" fillId="0" borderId="0" xfId="0" applyFont="1" applyBorder="1" applyAlignment="1" applyProtection="1">
      <alignment horizontal="right"/>
    </xf>
    <xf numFmtId="0" fontId="2" fillId="0" borderId="9" xfId="0" applyFont="1" applyBorder="1" applyAlignment="1" applyProtection="1">
      <alignment horizontal="right"/>
    </xf>
    <xf numFmtId="0" fontId="5" fillId="0" borderId="0" xfId="0" applyFont="1" applyBorder="1" applyAlignment="1" applyProtection="1">
      <alignment horizontal="center"/>
    </xf>
    <xf numFmtId="0" fontId="5" fillId="0" borderId="0" xfId="0" applyFont="1" applyBorder="1" applyAlignment="1" applyProtection="1">
      <alignment horizontal="right"/>
    </xf>
    <xf numFmtId="0" fontId="5" fillId="0" borderId="9" xfId="0" applyFont="1" applyBorder="1" applyAlignment="1" applyProtection="1">
      <alignment horizontal="right"/>
    </xf>
    <xf numFmtId="164" fontId="2" fillId="0" borderId="0" xfId="1" applyNumberFormat="1" applyFont="1" applyBorder="1" applyProtection="1"/>
    <xf numFmtId="164" fontId="2" fillId="0" borderId="9" xfId="0" applyNumberFormat="1" applyFont="1" applyBorder="1" applyProtection="1"/>
    <xf numFmtId="164" fontId="2" fillId="0" borderId="1" xfId="1" applyNumberFormat="1" applyFont="1" applyBorder="1" applyProtection="1"/>
    <xf numFmtId="164" fontId="2" fillId="0" borderId="10" xfId="0" applyNumberFormat="1" applyFont="1" applyBorder="1" applyProtection="1"/>
    <xf numFmtId="164" fontId="2" fillId="0" borderId="0" xfId="0" applyNumberFormat="1" applyFont="1" applyBorder="1" applyProtection="1"/>
    <xf numFmtId="0" fontId="2" fillId="0" borderId="10" xfId="0" applyFont="1" applyBorder="1" applyAlignment="1" applyProtection="1">
      <alignment horizontal="center"/>
    </xf>
    <xf numFmtId="164" fontId="2" fillId="0" borderId="8" xfId="0" applyNumberFormat="1" applyFont="1" applyBorder="1" applyProtection="1"/>
    <xf numFmtId="43" fontId="2" fillId="0" borderId="1" xfId="0" applyNumberFormat="1" applyFont="1" applyBorder="1" applyProtection="1"/>
    <xf numFmtId="0" fontId="2" fillId="0" borderId="4" xfId="0" applyFont="1" applyBorder="1" applyProtection="1"/>
    <xf numFmtId="0" fontId="2" fillId="0" borderId="2" xfId="0" applyFont="1" applyBorder="1" applyProtection="1"/>
    <xf numFmtId="0" fontId="2" fillId="2" borderId="0" xfId="0" applyFont="1" applyFill="1" applyProtection="1">
      <protection locked="0"/>
    </xf>
    <xf numFmtId="165" fontId="2" fillId="2" borderId="0" xfId="0" applyNumberFormat="1" applyFont="1" applyFill="1" applyAlignment="1" applyProtection="1">
      <protection locked="0"/>
    </xf>
    <xf numFmtId="164" fontId="2" fillId="2" borderId="0" xfId="1" applyNumberFormat="1" applyFont="1" applyFill="1" applyProtection="1">
      <protection locked="0"/>
    </xf>
    <xf numFmtId="166" fontId="2" fillId="2" borderId="0" xfId="1" applyNumberFormat="1" applyFont="1" applyFill="1" applyProtection="1">
      <protection locked="0"/>
    </xf>
    <xf numFmtId="0" fontId="2" fillId="2" borderId="8" xfId="0" applyFont="1" applyFill="1" applyBorder="1" applyProtection="1">
      <protection locked="0"/>
    </xf>
    <xf numFmtId="164" fontId="2" fillId="2" borderId="0" xfId="1" applyNumberFormat="1" applyFont="1" applyFill="1" applyBorder="1" applyProtection="1">
      <protection locked="0"/>
    </xf>
    <xf numFmtId="164" fontId="2" fillId="2" borderId="1" xfId="1" applyNumberFormat="1" applyFont="1" applyFill="1" applyBorder="1" applyProtection="1">
      <protection locked="0"/>
    </xf>
    <xf numFmtId="10" fontId="2" fillId="2" borderId="4" xfId="2" applyNumberFormat="1" applyFont="1" applyFill="1" applyBorder="1" applyAlignment="1" applyProtection="1">
      <alignment horizontal="left"/>
      <protection locked="0"/>
    </xf>
    <xf numFmtId="0" fontId="2" fillId="2" borderId="0" xfId="0" applyNumberFormat="1" applyFont="1" applyFill="1" applyProtection="1">
      <protection locked="0"/>
    </xf>
    <xf numFmtId="0" fontId="1" fillId="0" borderId="0" xfId="0" applyFont="1"/>
    <xf numFmtId="0" fontId="1" fillId="0" borderId="0" xfId="0" applyFont="1" applyFill="1" applyAlignment="1"/>
    <xf numFmtId="0" fontId="9" fillId="0" borderId="0" xfId="0" applyFont="1"/>
    <xf numFmtId="0" fontId="5" fillId="0" borderId="0" xfId="0" applyFont="1" applyProtection="1"/>
    <xf numFmtId="0" fontId="10" fillId="0" borderId="0" xfId="0" applyFont="1" applyAlignment="1">
      <alignment horizontal="center" vertical="top" wrapText="1"/>
    </xf>
    <xf numFmtId="0" fontId="1" fillId="0" borderId="0" xfId="0" applyFont="1" applyFill="1" applyAlignment="1">
      <alignment horizontal="left"/>
    </xf>
    <xf numFmtId="0" fontId="0" fillId="0" borderId="0" xfId="0" applyFill="1"/>
    <xf numFmtId="0" fontId="4" fillId="0" borderId="0" xfId="0" applyFont="1" applyProtection="1"/>
    <xf numFmtId="0" fontId="1" fillId="0" borderId="0" xfId="0" applyNumberFormat="1" applyFont="1" applyFill="1" applyAlignment="1">
      <alignment horizontal="left"/>
    </xf>
    <xf numFmtId="0" fontId="1" fillId="0" borderId="0" xfId="0" applyNumberFormat="1" applyFont="1" applyFill="1" applyAlignment="1"/>
    <xf numFmtId="0" fontId="0" fillId="0" borderId="0" xfId="0" applyNumberFormat="1" applyFill="1"/>
    <xf numFmtId="9" fontId="2" fillId="2" borderId="0" xfId="2" applyFont="1" applyFill="1" applyProtection="1"/>
    <xf numFmtId="10" fontId="2" fillId="2" borderId="0" xfId="0" applyNumberFormat="1" applyFont="1" applyFill="1" applyProtection="1">
      <protection locked="0"/>
    </xf>
    <xf numFmtId="10" fontId="2" fillId="2" borderId="0" xfId="0" applyNumberFormat="1" applyFont="1" applyFill="1" applyBorder="1" applyProtection="1">
      <protection locked="0"/>
    </xf>
    <xf numFmtId="10" fontId="2" fillId="2" borderId="1" xfId="0" applyNumberFormat="1" applyFont="1" applyFill="1" applyBorder="1" applyProtection="1">
      <protection locked="0"/>
    </xf>
    <xf numFmtId="10" fontId="2" fillId="0" borderId="0" xfId="0" applyNumberFormat="1" applyFont="1" applyFill="1" applyBorder="1" applyProtection="1"/>
    <xf numFmtId="10" fontId="2" fillId="0" borderId="0" xfId="0" applyNumberFormat="1" applyFont="1" applyBorder="1" applyProtection="1"/>
    <xf numFmtId="10" fontId="2" fillId="0" borderId="1" xfId="0" applyNumberFormat="1" applyFont="1" applyBorder="1" applyProtection="1"/>
    <xf numFmtId="0" fontId="2" fillId="0" borderId="0" xfId="0" applyFont="1" applyProtection="1">
      <protection locked="0"/>
    </xf>
    <xf numFmtId="43" fontId="2" fillId="0" borderId="0" xfId="0" applyNumberFormat="1" applyFont="1" applyProtection="1">
      <protection locked="0"/>
    </xf>
    <xf numFmtId="164" fontId="2" fillId="0" borderId="0" xfId="0" applyNumberFormat="1" applyFont="1" applyProtection="1">
      <protection locked="0"/>
    </xf>
    <xf numFmtId="0" fontId="2" fillId="0" borderId="8" xfId="0" applyFont="1" applyFill="1" applyBorder="1" applyProtection="1">
      <protection locked="0"/>
    </xf>
    <xf numFmtId="0" fontId="9" fillId="0" borderId="0" xfId="0" applyFont="1" applyAlignment="1">
      <alignment horizontal="center"/>
    </xf>
    <xf numFmtId="0" fontId="1" fillId="2" borderId="0" xfId="0" applyFont="1" applyFill="1" applyAlignment="1">
      <alignment horizontal="left"/>
    </xf>
    <xf numFmtId="0" fontId="1" fillId="0" borderId="0" xfId="0" applyFont="1" applyAlignment="1">
      <alignment horizontal="left" wrapText="1"/>
    </xf>
    <xf numFmtId="0" fontId="1" fillId="0" borderId="0" xfId="0" applyFont="1" applyAlignment="1">
      <alignment horizontal="left"/>
    </xf>
    <xf numFmtId="0" fontId="2" fillId="0" borderId="2" xfId="0" applyFont="1" applyBorder="1" applyAlignment="1" applyProtection="1">
      <alignment horizontal="left"/>
    </xf>
    <xf numFmtId="0" fontId="2" fillId="0" borderId="5" xfId="0" applyFont="1" applyBorder="1" applyAlignment="1" applyProtection="1">
      <alignment horizontal="left"/>
    </xf>
    <xf numFmtId="0" fontId="2" fillId="2" borderId="0" xfId="0" applyFont="1" applyFill="1" applyAlignment="1" applyProtection="1">
      <alignment horizontal="right"/>
      <protection locked="0"/>
    </xf>
    <xf numFmtId="0" fontId="0" fillId="0" borderId="0" xfId="0" applyFill="1" applyAlignment="1">
      <alignment horizontal="left" vertical="top" wrapText="1"/>
    </xf>
    <xf numFmtId="0" fontId="1" fillId="0" borderId="0" xfId="0" applyFont="1" applyAlignment="1">
      <alignment wrapText="1"/>
    </xf>
    <xf numFmtId="0" fontId="12" fillId="0" borderId="0" xfId="0"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2</xdr:row>
      <xdr:rowOff>95250</xdr:rowOff>
    </xdr:from>
    <xdr:to>
      <xdr:col>10</xdr:col>
      <xdr:colOff>246964</xdr:colOff>
      <xdr:row>35</xdr:row>
      <xdr:rowOff>46714</xdr:rowOff>
    </xdr:to>
    <xdr:pic>
      <xdr:nvPicPr>
        <xdr:cNvPr id="2" name="Picture 1">
          <a:extLst>
            <a:ext uri="{FF2B5EF4-FFF2-40B4-BE49-F238E27FC236}">
              <a16:creationId xmlns:a16="http://schemas.microsoft.com/office/drawing/2014/main" id="{2E580429-2DCB-4844-88E0-67AE6182B5D2}"/>
            </a:ext>
          </a:extLst>
        </xdr:cNvPr>
        <xdr:cNvPicPr>
          <a:picLocks noChangeAspect="1"/>
        </xdr:cNvPicPr>
      </xdr:nvPicPr>
      <xdr:blipFill>
        <a:blip xmlns:r="http://schemas.openxmlformats.org/officeDocument/2006/relationships" r:embed="rId1"/>
        <a:stretch>
          <a:fillRect/>
        </a:stretch>
      </xdr:blipFill>
      <xdr:spPr>
        <a:xfrm>
          <a:off x="8477250" y="419100"/>
          <a:ext cx="5485714" cy="7285714"/>
        </a:xfrm>
        <a:prstGeom prst="rect">
          <a:avLst/>
        </a:prstGeom>
      </xdr:spPr>
    </xdr:pic>
    <xdr:clientData/>
  </xdr:twoCellAnchor>
  <xdr:twoCellAnchor editAs="oneCell">
    <xdr:from>
      <xdr:col>11</xdr:col>
      <xdr:colOff>0</xdr:colOff>
      <xdr:row>2</xdr:row>
      <xdr:rowOff>180975</xdr:rowOff>
    </xdr:from>
    <xdr:to>
      <xdr:col>20</xdr:col>
      <xdr:colOff>418362</xdr:colOff>
      <xdr:row>24</xdr:row>
      <xdr:rowOff>113614</xdr:rowOff>
    </xdr:to>
    <xdr:pic>
      <xdr:nvPicPr>
        <xdr:cNvPr id="4" name="Picture 3">
          <a:extLst>
            <a:ext uri="{FF2B5EF4-FFF2-40B4-BE49-F238E27FC236}">
              <a16:creationId xmlns:a16="http://schemas.microsoft.com/office/drawing/2014/main" id="{56716CBF-7590-4A8D-9546-D0591AB111A2}"/>
            </a:ext>
          </a:extLst>
        </xdr:cNvPr>
        <xdr:cNvPicPr>
          <a:picLocks noChangeAspect="1"/>
        </xdr:cNvPicPr>
      </xdr:nvPicPr>
      <xdr:blipFill>
        <a:blip xmlns:r="http://schemas.openxmlformats.org/officeDocument/2006/relationships" r:embed="rId2"/>
        <a:stretch>
          <a:fillRect/>
        </a:stretch>
      </xdr:blipFill>
      <xdr:spPr>
        <a:xfrm>
          <a:off x="14325600" y="504825"/>
          <a:ext cx="5904762" cy="54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82679-C2DD-4681-A498-C2569D99FEA2}">
  <dimension ref="A1:L20"/>
  <sheetViews>
    <sheetView tabSelected="1" workbookViewId="0">
      <selection activeCell="A9" sqref="A9"/>
    </sheetView>
  </sheetViews>
  <sheetFormatPr defaultRowHeight="12.75" x14ac:dyDescent="0.2"/>
  <cols>
    <col min="1" max="1" width="123.42578125" style="2" bestFit="1" customWidth="1"/>
  </cols>
  <sheetData>
    <row r="1" spans="1:12" x14ac:dyDescent="0.2">
      <c r="A1" s="84" t="s">
        <v>43</v>
      </c>
      <c r="C1" s="111" t="s">
        <v>120</v>
      </c>
      <c r="L1" s="111" t="s">
        <v>121</v>
      </c>
    </row>
    <row r="2" spans="1:12" x14ac:dyDescent="0.2">
      <c r="A2" s="84"/>
    </row>
    <row r="3" spans="1:12" ht="25.5" x14ac:dyDescent="0.2">
      <c r="A3" s="110" t="s">
        <v>119</v>
      </c>
    </row>
    <row r="4" spans="1:12" s="86" customFormat="1" x14ac:dyDescent="0.2">
      <c r="A4" s="109"/>
    </row>
    <row r="5" spans="1:12" ht="25.5" x14ac:dyDescent="0.2">
      <c r="A5" s="5" t="s">
        <v>84</v>
      </c>
      <c r="B5" s="1"/>
      <c r="C5" s="1"/>
      <c r="D5" s="1"/>
      <c r="E5" s="1"/>
      <c r="F5" s="1"/>
      <c r="G5" s="1"/>
      <c r="H5" s="1"/>
      <c r="I5" s="1"/>
    </row>
    <row r="6" spans="1:12" ht="40.9" customHeight="1" x14ac:dyDescent="0.2">
      <c r="A6" s="5" t="s">
        <v>95</v>
      </c>
      <c r="B6" s="1"/>
      <c r="C6" s="1"/>
      <c r="D6" s="1"/>
      <c r="E6" s="1"/>
      <c r="F6" s="1"/>
      <c r="G6" s="1"/>
      <c r="H6" s="1"/>
      <c r="I6" s="1"/>
    </row>
    <row r="7" spans="1:12" ht="25.5" x14ac:dyDescent="0.2">
      <c r="A7" s="5" t="s">
        <v>47</v>
      </c>
      <c r="B7" s="1"/>
      <c r="C7" s="1"/>
      <c r="D7" s="1"/>
      <c r="E7" s="1"/>
      <c r="F7" s="1"/>
      <c r="G7" s="1"/>
      <c r="H7" s="1"/>
      <c r="I7" s="1"/>
    </row>
    <row r="8" spans="1:12" x14ac:dyDescent="0.2">
      <c r="A8" s="3"/>
      <c r="B8" s="1"/>
      <c r="C8" s="1"/>
      <c r="D8" s="1"/>
      <c r="E8" s="1"/>
    </row>
    <row r="9" spans="1:12" x14ac:dyDescent="0.2">
      <c r="A9" s="3"/>
    </row>
    <row r="10" spans="1:12" x14ac:dyDescent="0.2">
      <c r="A10" s="4" t="s">
        <v>16</v>
      </c>
    </row>
    <row r="11" spans="1:12" ht="25.5" x14ac:dyDescent="0.2">
      <c r="A11" s="5" t="s">
        <v>48</v>
      </c>
    </row>
    <row r="12" spans="1:12" ht="27" customHeight="1" x14ac:dyDescent="0.2">
      <c r="A12" s="5" t="s">
        <v>85</v>
      </c>
    </row>
    <row r="13" spans="1:12" ht="25.5" x14ac:dyDescent="0.2">
      <c r="A13" s="5" t="s">
        <v>88</v>
      </c>
      <c r="B13" s="1"/>
      <c r="C13" s="1"/>
      <c r="D13" s="1"/>
      <c r="E13" s="1"/>
      <c r="F13" s="1"/>
      <c r="G13" s="1"/>
      <c r="H13" s="1"/>
      <c r="I13" s="1"/>
    </row>
    <row r="14" spans="1:12" x14ac:dyDescent="0.2">
      <c r="A14" s="5"/>
      <c r="B14" s="1"/>
      <c r="C14" s="1"/>
      <c r="D14" s="1"/>
      <c r="E14" s="1"/>
      <c r="F14" s="1"/>
      <c r="G14" s="1"/>
      <c r="H14" s="1"/>
      <c r="I14" s="1"/>
    </row>
    <row r="15" spans="1:12" x14ac:dyDescent="0.2">
      <c r="A15" s="4" t="s">
        <v>17</v>
      </c>
    </row>
    <row r="16" spans="1:12" ht="38.25" customHeight="1" x14ac:dyDescent="0.2">
      <c r="A16" s="5" t="s">
        <v>89</v>
      </c>
      <c r="B16" s="1"/>
      <c r="C16" s="1"/>
      <c r="D16" s="1"/>
      <c r="E16" s="1"/>
      <c r="F16" s="1"/>
      <c r="G16" s="1"/>
      <c r="H16" s="1"/>
      <c r="I16" s="1"/>
    </row>
    <row r="17" spans="1:9" ht="25.5" x14ac:dyDescent="0.2">
      <c r="A17" s="3" t="s">
        <v>92</v>
      </c>
      <c r="B17" s="1"/>
      <c r="C17" s="1"/>
      <c r="D17" s="1"/>
      <c r="E17" s="1"/>
      <c r="F17" s="1"/>
      <c r="G17" s="1"/>
      <c r="H17" s="1"/>
      <c r="I17" s="1"/>
    </row>
    <row r="18" spans="1:9" x14ac:dyDescent="0.2">
      <c r="A18" s="3"/>
    </row>
    <row r="19" spans="1:9" x14ac:dyDescent="0.2">
      <c r="A19" s="4" t="s">
        <v>18</v>
      </c>
    </row>
    <row r="20" spans="1:9" ht="25.5" customHeight="1" x14ac:dyDescent="0.2">
      <c r="A20" s="5" t="s">
        <v>87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workbookViewId="0">
      <selection activeCell="B46" sqref="B46"/>
    </sheetView>
  </sheetViews>
  <sheetFormatPr defaultRowHeight="12.75" x14ac:dyDescent="0.2"/>
  <cols>
    <col min="1" max="1" width="7.140625" customWidth="1"/>
    <col min="2" max="2" width="54.28515625" bestFit="1" customWidth="1"/>
    <col min="3" max="3" width="31.5703125" bestFit="1" customWidth="1"/>
  </cols>
  <sheetData>
    <row r="1" spans="1:6" x14ac:dyDescent="0.2">
      <c r="A1" s="102" t="s">
        <v>94</v>
      </c>
      <c r="B1" s="102"/>
      <c r="C1" s="102"/>
    </row>
    <row r="3" spans="1:6" x14ac:dyDescent="0.2">
      <c r="A3" s="103" t="s">
        <v>50</v>
      </c>
      <c r="B3" s="103"/>
      <c r="C3" s="81"/>
      <c r="D3" s="81"/>
      <c r="E3" s="81"/>
      <c r="F3" s="81"/>
    </row>
    <row r="4" spans="1:6" s="86" customFormat="1" x14ac:dyDescent="0.2">
      <c r="A4" s="85" t="s">
        <v>90</v>
      </c>
      <c r="B4" s="85"/>
      <c r="C4" s="81"/>
      <c r="D4" s="81"/>
      <c r="E4" s="81"/>
      <c r="F4" s="81"/>
    </row>
    <row r="5" spans="1:6" s="90" customFormat="1" x14ac:dyDescent="0.2">
      <c r="A5" s="88"/>
      <c r="B5" s="88"/>
      <c r="C5" s="89"/>
      <c r="D5" s="89"/>
      <c r="E5" s="89"/>
      <c r="F5" s="89"/>
    </row>
    <row r="6" spans="1:6" x14ac:dyDescent="0.2">
      <c r="A6" s="82" t="s">
        <v>51</v>
      </c>
      <c r="B6" s="82" t="s">
        <v>98</v>
      </c>
      <c r="C6" s="82" t="s">
        <v>96</v>
      </c>
    </row>
    <row r="7" spans="1:6" x14ac:dyDescent="0.2">
      <c r="A7" s="80" t="s">
        <v>52</v>
      </c>
      <c r="B7" s="80" t="s">
        <v>53</v>
      </c>
      <c r="C7" s="80" t="s">
        <v>74</v>
      </c>
    </row>
    <row r="8" spans="1:6" x14ac:dyDescent="0.2">
      <c r="A8" s="80" t="s">
        <v>54</v>
      </c>
      <c r="B8" s="80" t="s">
        <v>86</v>
      </c>
      <c r="C8" s="80" t="s">
        <v>74</v>
      </c>
    </row>
    <row r="9" spans="1:6" x14ac:dyDescent="0.2">
      <c r="A9" s="80" t="s">
        <v>105</v>
      </c>
      <c r="B9" s="80" t="s">
        <v>55</v>
      </c>
      <c r="C9" s="80" t="s">
        <v>74</v>
      </c>
    </row>
    <row r="10" spans="1:6" x14ac:dyDescent="0.2">
      <c r="A10" s="80" t="s">
        <v>106</v>
      </c>
      <c r="B10" s="80" t="s">
        <v>56</v>
      </c>
      <c r="C10" s="80" t="s">
        <v>75</v>
      </c>
    </row>
    <row r="11" spans="1:6" x14ac:dyDescent="0.2">
      <c r="A11" s="80" t="s">
        <v>107</v>
      </c>
      <c r="B11" s="80" t="s">
        <v>57</v>
      </c>
      <c r="C11" s="80" t="s">
        <v>75</v>
      </c>
    </row>
    <row r="12" spans="1:6" x14ac:dyDescent="0.2">
      <c r="A12" s="80" t="s">
        <v>108</v>
      </c>
      <c r="B12" s="80" t="s">
        <v>58</v>
      </c>
      <c r="C12" s="80" t="s">
        <v>74</v>
      </c>
    </row>
    <row r="13" spans="1:6" x14ac:dyDescent="0.2">
      <c r="A13" s="80" t="s">
        <v>109</v>
      </c>
      <c r="B13" s="80" t="s">
        <v>59</v>
      </c>
      <c r="C13" s="80" t="s">
        <v>74</v>
      </c>
    </row>
    <row r="14" spans="1:6" x14ac:dyDescent="0.2">
      <c r="A14" s="80" t="s">
        <v>68</v>
      </c>
      <c r="B14" s="80" t="s">
        <v>60</v>
      </c>
      <c r="C14" s="80" t="s">
        <v>75</v>
      </c>
    </row>
    <row r="15" spans="1:6" x14ac:dyDescent="0.2">
      <c r="A15" s="80" t="s">
        <v>69</v>
      </c>
      <c r="B15" s="80" t="s">
        <v>111</v>
      </c>
      <c r="C15" s="80" t="s">
        <v>75</v>
      </c>
    </row>
    <row r="16" spans="1:6" x14ac:dyDescent="0.2">
      <c r="A16" s="80" t="s">
        <v>110</v>
      </c>
      <c r="B16" s="80" t="s">
        <v>112</v>
      </c>
      <c r="C16" s="80" t="s">
        <v>113</v>
      </c>
    </row>
    <row r="17" spans="1:3" x14ac:dyDescent="0.2">
      <c r="A17" s="80" t="s">
        <v>70</v>
      </c>
      <c r="B17" s="80" t="s">
        <v>61</v>
      </c>
      <c r="C17" s="80" t="s">
        <v>114</v>
      </c>
    </row>
    <row r="18" spans="1:3" x14ac:dyDescent="0.2">
      <c r="A18" s="80" t="s">
        <v>71</v>
      </c>
      <c r="B18" s="80" t="s">
        <v>62</v>
      </c>
      <c r="C18" s="80" t="s">
        <v>75</v>
      </c>
    </row>
    <row r="19" spans="1:3" x14ac:dyDescent="0.2">
      <c r="A19" s="80" t="s">
        <v>72</v>
      </c>
      <c r="B19" s="80" t="s">
        <v>63</v>
      </c>
      <c r="C19" s="80" t="s">
        <v>74</v>
      </c>
    </row>
    <row r="20" spans="1:3" x14ac:dyDescent="0.2">
      <c r="A20" s="80" t="s">
        <v>73</v>
      </c>
      <c r="B20" s="80" t="s">
        <v>64</v>
      </c>
      <c r="C20" s="80" t="s">
        <v>74</v>
      </c>
    </row>
    <row r="21" spans="1:3" x14ac:dyDescent="0.2">
      <c r="A21" s="80" t="s">
        <v>78</v>
      </c>
      <c r="B21" s="80" t="s">
        <v>65</v>
      </c>
      <c r="C21" s="80" t="s">
        <v>76</v>
      </c>
    </row>
    <row r="22" spans="1:3" x14ac:dyDescent="0.2">
      <c r="A22" s="80" t="s">
        <v>79</v>
      </c>
      <c r="B22" s="80" t="s">
        <v>66</v>
      </c>
      <c r="C22" s="80" t="s">
        <v>76</v>
      </c>
    </row>
    <row r="23" spans="1:3" x14ac:dyDescent="0.2">
      <c r="A23" s="80" t="s">
        <v>80</v>
      </c>
      <c r="B23" s="80" t="s">
        <v>67</v>
      </c>
      <c r="C23" s="80" t="s">
        <v>76</v>
      </c>
    </row>
    <row r="24" spans="1:3" x14ac:dyDescent="0.2">
      <c r="A24" s="105" t="s">
        <v>82</v>
      </c>
      <c r="B24" s="105"/>
      <c r="C24" s="105"/>
    </row>
    <row r="26" spans="1:3" ht="27" customHeight="1" x14ac:dyDescent="0.2">
      <c r="A26" s="104" t="s">
        <v>81</v>
      </c>
      <c r="B26" s="104"/>
      <c r="C26" s="104"/>
    </row>
    <row r="27" spans="1:3" ht="27" customHeight="1" x14ac:dyDescent="0.2">
      <c r="A27" s="104" t="s">
        <v>91</v>
      </c>
      <c r="B27" s="104"/>
      <c r="C27" s="104"/>
    </row>
    <row r="28" spans="1:3" x14ac:dyDescent="0.2">
      <c r="A28" s="80" t="s">
        <v>83</v>
      </c>
    </row>
    <row r="29" spans="1:3" x14ac:dyDescent="0.2">
      <c r="A29" s="104" t="s">
        <v>77</v>
      </c>
      <c r="B29" s="104"/>
      <c r="C29" s="104"/>
    </row>
  </sheetData>
  <sheetProtection password="CC1A" sheet="1" objects="1" scenarios="1"/>
  <mergeCells count="6">
    <mergeCell ref="A1:C1"/>
    <mergeCell ref="A3:B3"/>
    <mergeCell ref="A27:C27"/>
    <mergeCell ref="A29:C29"/>
    <mergeCell ref="A26:C26"/>
    <mergeCell ref="A24:C24"/>
  </mergeCells>
  <pageMargins left="0.7" right="0.7" top="0.75" bottom="0.75" header="0.3" footer="0.3"/>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9"/>
  <sheetViews>
    <sheetView zoomScale="115" workbookViewId="0">
      <selection activeCell="K64" sqref="K64"/>
    </sheetView>
  </sheetViews>
  <sheetFormatPr defaultColWidth="9.140625" defaultRowHeight="11.25" x14ac:dyDescent="0.2"/>
  <cols>
    <col min="1" max="1" width="6.7109375" style="6" customWidth="1"/>
    <col min="2" max="2" width="7.85546875" style="6" customWidth="1"/>
    <col min="3" max="3" width="7.7109375" style="6" bestFit="1" customWidth="1"/>
    <col min="4" max="4" width="7" style="6" bestFit="1" customWidth="1"/>
    <col min="5" max="5" width="7.7109375" style="6" bestFit="1" customWidth="1"/>
    <col min="6" max="6" width="7.42578125" style="6" customWidth="1"/>
    <col min="7" max="7" width="9.140625" style="6" bestFit="1"/>
    <col min="8" max="8" width="9.140625" style="6" customWidth="1"/>
    <col min="9" max="9" width="7.85546875" style="6" customWidth="1"/>
    <col min="10" max="10" width="7.7109375" style="6" bestFit="1" customWidth="1"/>
    <col min="11" max="11" width="9.42578125" style="6" bestFit="1" customWidth="1"/>
    <col min="12" max="12" width="9.140625" style="6"/>
    <col min="13" max="13" width="11" style="71" customWidth="1"/>
    <col min="14" max="14" width="9.140625" style="71"/>
    <col min="15" max="15" width="9.85546875" style="98" bestFit="1" customWidth="1"/>
    <col min="16" max="20" width="9.140625" style="98"/>
    <col min="21" max="16384" width="9.140625" style="6"/>
  </cols>
  <sheetData>
    <row r="1" spans="1:9" x14ac:dyDescent="0.2">
      <c r="A1" s="83" t="s">
        <v>0</v>
      </c>
    </row>
    <row r="2" spans="1:9" x14ac:dyDescent="0.2">
      <c r="A2" s="6" t="s">
        <v>1</v>
      </c>
      <c r="F2" s="7"/>
      <c r="G2" s="108" t="s">
        <v>49</v>
      </c>
      <c r="H2" s="108"/>
    </row>
    <row r="3" spans="1:9" x14ac:dyDescent="0.2">
      <c r="A3" s="6" t="s">
        <v>38</v>
      </c>
      <c r="F3" s="108" t="s">
        <v>44</v>
      </c>
      <c r="G3" s="108"/>
      <c r="H3" s="108"/>
    </row>
    <row r="4" spans="1:9" x14ac:dyDescent="0.2">
      <c r="A4" s="6" t="s">
        <v>2</v>
      </c>
      <c r="G4" s="8"/>
      <c r="H4" s="71" t="s">
        <v>46</v>
      </c>
    </row>
    <row r="5" spans="1:9" x14ac:dyDescent="0.2">
      <c r="A5" s="6" t="s">
        <v>3</v>
      </c>
      <c r="H5" s="72" t="s">
        <v>45</v>
      </c>
    </row>
    <row r="6" spans="1:9" x14ac:dyDescent="0.2">
      <c r="A6" s="6" t="s">
        <v>4</v>
      </c>
      <c r="H6" s="72" t="s">
        <v>45</v>
      </c>
    </row>
    <row r="7" spans="1:9" x14ac:dyDescent="0.2">
      <c r="G7" s="9"/>
    </row>
    <row r="8" spans="1:9" x14ac:dyDescent="0.2">
      <c r="A8" s="6" t="s">
        <v>5</v>
      </c>
      <c r="H8" s="72" t="s">
        <v>45</v>
      </c>
    </row>
    <row r="9" spans="1:9" x14ac:dyDescent="0.2">
      <c r="A9" s="6" t="s">
        <v>6</v>
      </c>
      <c r="H9" s="72" t="s">
        <v>45</v>
      </c>
    </row>
    <row r="11" spans="1:9" x14ac:dyDescent="0.2">
      <c r="A11" s="6" t="s">
        <v>7</v>
      </c>
      <c r="F11" s="7" t="s">
        <v>99</v>
      </c>
      <c r="G11" s="7" t="s">
        <v>100</v>
      </c>
      <c r="H11" s="7" t="s">
        <v>101</v>
      </c>
    </row>
    <row r="12" spans="1:9" x14ac:dyDescent="0.2">
      <c r="A12" s="6" t="s">
        <v>8</v>
      </c>
      <c r="E12" s="73">
        <v>100000</v>
      </c>
      <c r="F12" s="92">
        <v>0.4975</v>
      </c>
      <c r="G12" s="91">
        <v>0.5</v>
      </c>
      <c r="H12" s="10">
        <f>ROUND(F12*E12,0)</f>
        <v>49750</v>
      </c>
      <c r="I12" s="6" t="s">
        <v>102</v>
      </c>
    </row>
    <row r="13" spans="1:9" x14ac:dyDescent="0.2">
      <c r="A13" s="6" t="s">
        <v>26</v>
      </c>
      <c r="F13" s="11">
        <v>0.75</v>
      </c>
      <c r="H13" s="12">
        <f>ROUND(E12*F13*G12,0)</f>
        <v>37500</v>
      </c>
      <c r="I13" s="13" t="s">
        <v>104</v>
      </c>
    </row>
    <row r="15" spans="1:9" x14ac:dyDescent="0.2">
      <c r="A15" s="87" t="s">
        <v>93</v>
      </c>
    </row>
    <row r="16" spans="1:9" x14ac:dyDescent="0.2">
      <c r="A16" s="6" t="s">
        <v>9</v>
      </c>
      <c r="E16" s="74">
        <v>1983</v>
      </c>
      <c r="F16" s="14" t="s">
        <v>41</v>
      </c>
    </row>
    <row r="17" spans="1:13" x14ac:dyDescent="0.2">
      <c r="A17" s="6" t="s">
        <v>10</v>
      </c>
      <c r="E17" s="74">
        <v>1981</v>
      </c>
      <c r="F17" s="15">
        <f>IF(E17&lt;1996,(1996-E17)*2000,0)</f>
        <v>30000</v>
      </c>
      <c r="H17" s="10">
        <f>F17*G12</f>
        <v>15000</v>
      </c>
      <c r="M17" s="79"/>
    </row>
    <row r="18" spans="1:13" x14ac:dyDescent="0.2">
      <c r="A18" s="6" t="s">
        <v>31</v>
      </c>
      <c r="E18" s="16">
        <f>E16</f>
        <v>1983</v>
      </c>
      <c r="F18" s="15">
        <f>IF(E17&lt;1989,IF(E18&gt;1989,(1989-E17)*1500,(E18-E17)*1500),0)</f>
        <v>3000</v>
      </c>
      <c r="H18" s="10">
        <f>F18*G12</f>
        <v>1500</v>
      </c>
    </row>
    <row r="19" spans="1:13" x14ac:dyDescent="0.2">
      <c r="A19" s="17" t="s">
        <v>42</v>
      </c>
      <c r="H19" s="18">
        <f>SUM(H17:H18)</f>
        <v>16500</v>
      </c>
      <c r="I19" s="6" t="s">
        <v>103</v>
      </c>
    </row>
    <row r="21" spans="1:13" x14ac:dyDescent="0.2">
      <c r="A21" s="19" t="s">
        <v>16</v>
      </c>
      <c r="B21" s="20"/>
      <c r="C21" s="21"/>
      <c r="D21" s="21"/>
      <c r="E21" s="21"/>
      <c r="F21" s="21"/>
      <c r="G21" s="21"/>
      <c r="H21" s="21"/>
      <c r="I21" s="21"/>
      <c r="J21" s="21"/>
      <c r="K21" s="22" t="s">
        <v>23</v>
      </c>
    </row>
    <row r="22" spans="1:13" x14ac:dyDescent="0.2">
      <c r="A22" s="23">
        <f>H13-H19</f>
        <v>21000</v>
      </c>
      <c r="B22" s="24" t="s">
        <v>39</v>
      </c>
      <c r="C22" s="24"/>
      <c r="D22" s="24"/>
      <c r="E22" s="24"/>
      <c r="F22" s="24"/>
      <c r="G22" s="24"/>
      <c r="H22" s="24"/>
      <c r="I22" s="24"/>
      <c r="J22" s="24"/>
      <c r="K22" s="25" t="s">
        <v>24</v>
      </c>
    </row>
    <row r="23" spans="1:13" x14ac:dyDescent="0.2">
      <c r="A23" s="23">
        <f>H19</f>
        <v>16500</v>
      </c>
      <c r="B23" s="24" t="s">
        <v>40</v>
      </c>
      <c r="C23" s="24"/>
      <c r="D23" s="24"/>
      <c r="E23" s="24"/>
      <c r="F23" s="24"/>
      <c r="G23" s="24"/>
      <c r="H23" s="24"/>
      <c r="I23" s="24"/>
      <c r="J23" s="24"/>
      <c r="K23" s="25" t="s">
        <v>25</v>
      </c>
    </row>
    <row r="24" spans="1:13" x14ac:dyDescent="0.2">
      <c r="A24" s="26"/>
      <c r="B24" s="24"/>
      <c r="C24" s="24"/>
      <c r="D24" s="24"/>
      <c r="E24" s="24"/>
      <c r="F24" s="24"/>
      <c r="G24" s="27" t="s">
        <v>22</v>
      </c>
      <c r="H24" s="24"/>
      <c r="I24" s="27"/>
      <c r="J24" s="24"/>
      <c r="K24" s="28"/>
    </row>
    <row r="25" spans="1:13" ht="22.5" x14ac:dyDescent="0.2">
      <c r="A25" s="26"/>
      <c r="B25" s="29" t="s">
        <v>36</v>
      </c>
      <c r="C25" s="30" t="s">
        <v>19</v>
      </c>
      <c r="D25" s="30" t="s">
        <v>34</v>
      </c>
      <c r="E25" s="30" t="s">
        <v>35</v>
      </c>
      <c r="F25" s="27" t="s">
        <v>21</v>
      </c>
      <c r="G25" s="27" t="s">
        <v>33</v>
      </c>
      <c r="H25" s="24"/>
      <c r="I25" s="30"/>
      <c r="J25" s="30" t="s">
        <v>28</v>
      </c>
      <c r="K25" s="31" t="s">
        <v>30</v>
      </c>
    </row>
    <row r="26" spans="1:13" x14ac:dyDescent="0.2">
      <c r="A26" s="32"/>
      <c r="B26" s="33" t="s">
        <v>37</v>
      </c>
      <c r="C26" s="34" t="s">
        <v>20</v>
      </c>
      <c r="D26" s="34" t="s">
        <v>32</v>
      </c>
      <c r="E26" s="34" t="s">
        <v>23</v>
      </c>
      <c r="F26" s="35" t="s">
        <v>12</v>
      </c>
      <c r="G26" s="35" t="s">
        <v>23</v>
      </c>
      <c r="H26" s="35" t="s">
        <v>14</v>
      </c>
      <c r="I26" s="34" t="s">
        <v>13</v>
      </c>
      <c r="J26" s="34" t="s">
        <v>29</v>
      </c>
      <c r="K26" s="36" t="s">
        <v>29</v>
      </c>
    </row>
    <row r="27" spans="1:13" x14ac:dyDescent="0.2">
      <c r="A27" s="75" t="s">
        <v>115</v>
      </c>
      <c r="B27" s="93">
        <v>0.8</v>
      </c>
      <c r="C27" s="37">
        <f>H12</f>
        <v>49750</v>
      </c>
      <c r="D27" s="76">
        <f>ROUND(0*10/12,0)</f>
        <v>0</v>
      </c>
      <c r="E27" s="37">
        <f>ROUND(SUM(C27:D27)*(1+$E$59),0)</f>
        <v>61939</v>
      </c>
      <c r="F27" s="37">
        <f>ROUND(((H12*2/12)+(C27*10/12*B27)+(D27*B27))*(1+$E$59),0)</f>
        <v>51616</v>
      </c>
      <c r="G27" s="37"/>
      <c r="H27" s="37">
        <f>SUM(F27:G27)</f>
        <v>51616</v>
      </c>
      <c r="I27" s="37">
        <f>E27-SUM(F27:G27)</f>
        <v>10323</v>
      </c>
      <c r="J27" s="37">
        <f>ROUND(IF($E$27-$H$27&gt;0,IF($E$27-$H$27&gt;$G$30*10/36,$G$30*10/36,$E$27-$H$27),0),0)</f>
        <v>10323</v>
      </c>
      <c r="K27" s="38">
        <f>I27-J27</f>
        <v>0</v>
      </c>
    </row>
    <row r="28" spans="1:13" x14ac:dyDescent="0.2">
      <c r="A28" s="75" t="s">
        <v>116</v>
      </c>
      <c r="B28" s="93">
        <v>0.6</v>
      </c>
      <c r="C28" s="37">
        <f>ROUND(C27+(D27/10*12),0)</f>
        <v>49750</v>
      </c>
      <c r="D28" s="76">
        <f>ROUND(0*10/12,0)</f>
        <v>0</v>
      </c>
      <c r="E28" s="37">
        <f>ROUND(SUM(C28:D28)*(1+$G$59),0)</f>
        <v>61939</v>
      </c>
      <c r="F28" s="37">
        <f>ROUND(((C28*2/12*B27)+(C28*10/12*B28)+(D28*B28))*(1+$G$59),0)</f>
        <v>39228</v>
      </c>
      <c r="G28" s="37"/>
      <c r="H28" s="37">
        <f>SUM(F28:G28)</f>
        <v>39228</v>
      </c>
      <c r="I28" s="37">
        <f>E28-SUM(F28:G28)</f>
        <v>22711</v>
      </c>
      <c r="J28" s="37">
        <f>ROUND(IF($E$28-$H$28&gt;0,IF($E$28-$H$28&gt;($G$30*22/36-J27),$G$30*22/36-J27,$E$28-$H$28),0),0)</f>
        <v>15738</v>
      </c>
      <c r="K28" s="38">
        <f>I28-J28</f>
        <v>6973</v>
      </c>
    </row>
    <row r="29" spans="1:13" x14ac:dyDescent="0.2">
      <c r="A29" s="75" t="s">
        <v>117</v>
      </c>
      <c r="B29" s="93">
        <v>0.6</v>
      </c>
      <c r="C29" s="37">
        <f>ROUND(C28+(D28/10*12),0)</f>
        <v>49750</v>
      </c>
      <c r="D29" s="76">
        <f>ROUND(0*10/12,0)</f>
        <v>0</v>
      </c>
      <c r="E29" s="37">
        <f>ROUND(SUM(C29:D29)*(1+$I$59),0)</f>
        <v>61939</v>
      </c>
      <c r="F29" s="37">
        <f>ROUND(((C29*2/12*B28)+(C29*10/12*B29)+(D29*B29))*(1+$I$59),0)</f>
        <v>37163</v>
      </c>
      <c r="G29" s="37"/>
      <c r="H29" s="37">
        <f>SUM(F29:G29)</f>
        <v>37163</v>
      </c>
      <c r="I29" s="37">
        <f>E29-SUM(F29:G29)</f>
        <v>24776</v>
      </c>
      <c r="J29" s="37">
        <f>ROUND(IF($E$29-$H$29&gt;0,IF($E$29-$H$29&gt;($G$30*34/36-SUM(J27:J28)),$G$30*34/36-SUM(J27:J28),$E$29-$H$29),0),0)</f>
        <v>14215</v>
      </c>
      <c r="K29" s="38">
        <f>I29-J29</f>
        <v>10561</v>
      </c>
    </row>
    <row r="30" spans="1:13" x14ac:dyDescent="0.2">
      <c r="A30" s="75" t="s">
        <v>118</v>
      </c>
      <c r="B30" s="94"/>
      <c r="C30" s="39">
        <f>ROUND((C29+(D29/10*12))*2/12,0)</f>
        <v>8292</v>
      </c>
      <c r="D30" s="77"/>
      <c r="E30" s="39">
        <f>ROUND(SUM(C30:D30)*(1+$K$59),0)</f>
        <v>10324</v>
      </c>
      <c r="F30" s="39">
        <f>ROUND(((C30*B29))*(1+$K$59),0)</f>
        <v>6194</v>
      </c>
      <c r="G30" s="39">
        <f>ROUND((A22*(1+$K$59))+A23,0)</f>
        <v>42645</v>
      </c>
      <c r="H30" s="39">
        <f>SUM(F30:G30)</f>
        <v>48839</v>
      </c>
      <c r="I30" s="39">
        <f>E30-SUM(F30:G30)</f>
        <v>-38515</v>
      </c>
      <c r="J30" s="39">
        <f>ROUND(IF($E$30-$F$30&gt;0,IF($E$30-$F$30&gt;($G$30*36/36-SUM(J27:J29)),$G$30*36/36-SUM(J27:J29),$E$30-$F$30),0),0)</f>
        <v>2369</v>
      </c>
      <c r="K30" s="40">
        <f>E30-F30-J30</f>
        <v>1761</v>
      </c>
    </row>
    <row r="31" spans="1:13" x14ac:dyDescent="0.2">
      <c r="A31" s="26"/>
      <c r="B31" s="95">
        <f>SUM(B27:B29)</f>
        <v>2</v>
      </c>
      <c r="C31" s="41">
        <f>SUM(C27:C30)</f>
        <v>157542</v>
      </c>
      <c r="D31" s="41"/>
      <c r="E31" s="41">
        <f t="shared" ref="E31:K31" si="0">SUM(E27:E30)</f>
        <v>196141</v>
      </c>
      <c r="F31" s="41">
        <f t="shared" si="0"/>
        <v>134201</v>
      </c>
      <c r="G31" s="41">
        <f t="shared" si="0"/>
        <v>42645</v>
      </c>
      <c r="H31" s="41">
        <f t="shared" si="0"/>
        <v>176846</v>
      </c>
      <c r="I31" s="41">
        <f t="shared" si="0"/>
        <v>19295</v>
      </c>
      <c r="J31" s="41">
        <f t="shared" si="0"/>
        <v>42645</v>
      </c>
      <c r="K31" s="38">
        <f t="shared" si="0"/>
        <v>19295</v>
      </c>
    </row>
    <row r="32" spans="1:13" x14ac:dyDescent="0.2">
      <c r="A32" s="42"/>
      <c r="B32" s="43"/>
      <c r="C32" s="43"/>
      <c r="D32" s="43"/>
      <c r="E32" s="43"/>
      <c r="F32" s="43"/>
      <c r="G32" s="43"/>
      <c r="H32" s="43"/>
      <c r="I32" s="44"/>
      <c r="J32" s="43"/>
      <c r="K32" s="45"/>
    </row>
    <row r="33" spans="1:15" x14ac:dyDescent="0.2">
      <c r="A33" s="46" t="s">
        <v>17</v>
      </c>
      <c r="B33" s="47"/>
      <c r="C33" s="48"/>
      <c r="D33" s="48"/>
      <c r="E33" s="48"/>
      <c r="F33" s="48"/>
      <c r="G33" s="48"/>
      <c r="H33" s="48"/>
      <c r="I33" s="48"/>
      <c r="J33" s="48"/>
      <c r="K33" s="49" t="s">
        <v>23</v>
      </c>
    </row>
    <row r="34" spans="1:15" x14ac:dyDescent="0.2">
      <c r="A34" s="50">
        <f>(H13-H19)/3</f>
        <v>7000</v>
      </c>
      <c r="B34" s="51" t="s">
        <v>11</v>
      </c>
      <c r="C34" s="51"/>
      <c r="D34" s="51"/>
      <c r="E34" s="51"/>
      <c r="F34" s="51"/>
      <c r="G34" s="51"/>
      <c r="H34" s="51"/>
      <c r="I34" s="51"/>
      <c r="J34" s="51"/>
      <c r="K34" s="52" t="s">
        <v>24</v>
      </c>
    </row>
    <row r="35" spans="1:15" x14ac:dyDescent="0.2">
      <c r="A35" s="50">
        <f>H19</f>
        <v>16500</v>
      </c>
      <c r="B35" s="51" t="s">
        <v>40</v>
      </c>
      <c r="C35" s="51"/>
      <c r="D35" s="51"/>
      <c r="E35" s="51"/>
      <c r="F35" s="51"/>
      <c r="G35" s="51"/>
      <c r="H35" s="51"/>
      <c r="I35" s="51"/>
      <c r="J35" s="51"/>
      <c r="K35" s="52" t="s">
        <v>25</v>
      </c>
    </row>
    <row r="36" spans="1:15" x14ac:dyDescent="0.2">
      <c r="A36" s="53"/>
      <c r="B36" s="51"/>
      <c r="C36" s="51"/>
      <c r="D36" s="51"/>
      <c r="E36" s="51"/>
      <c r="F36" s="51"/>
      <c r="G36" s="27" t="s">
        <v>22</v>
      </c>
      <c r="H36" s="51"/>
      <c r="I36" s="51"/>
      <c r="J36" s="51"/>
      <c r="K36" s="52"/>
    </row>
    <row r="37" spans="1:15" ht="22.5" x14ac:dyDescent="0.2">
      <c r="A37" s="54"/>
      <c r="B37" s="29" t="s">
        <v>36</v>
      </c>
      <c r="C37" s="30" t="s">
        <v>19</v>
      </c>
      <c r="D37" s="30" t="s">
        <v>34</v>
      </c>
      <c r="E37" s="30" t="s">
        <v>35</v>
      </c>
      <c r="F37" s="55" t="s">
        <v>21</v>
      </c>
      <c r="G37" s="27" t="s">
        <v>33</v>
      </c>
      <c r="H37" s="51"/>
      <c r="I37" s="56"/>
      <c r="J37" s="56" t="s">
        <v>28</v>
      </c>
      <c r="K37" s="57" t="s">
        <v>30</v>
      </c>
    </row>
    <row r="38" spans="1:15" x14ac:dyDescent="0.2">
      <c r="A38" s="54"/>
      <c r="B38" s="33" t="s">
        <v>37</v>
      </c>
      <c r="C38" s="34" t="s">
        <v>20</v>
      </c>
      <c r="D38" s="34" t="s">
        <v>32</v>
      </c>
      <c r="E38" s="34" t="s">
        <v>23</v>
      </c>
      <c r="F38" s="58" t="s">
        <v>12</v>
      </c>
      <c r="G38" s="35" t="s">
        <v>23</v>
      </c>
      <c r="H38" s="58" t="s">
        <v>14</v>
      </c>
      <c r="I38" s="59" t="s">
        <v>13</v>
      </c>
      <c r="J38" s="59" t="s">
        <v>29</v>
      </c>
      <c r="K38" s="60" t="s">
        <v>29</v>
      </c>
    </row>
    <row r="39" spans="1:15" x14ac:dyDescent="0.2">
      <c r="A39" s="101" t="s">
        <v>115</v>
      </c>
      <c r="B39" s="96">
        <f>B27</f>
        <v>0.8</v>
      </c>
      <c r="C39" s="37">
        <f>H12</f>
        <v>49750</v>
      </c>
      <c r="D39" s="37">
        <f>D27</f>
        <v>0</v>
      </c>
      <c r="E39" s="37">
        <f>ROUND(SUM(C39:D39)*(1+$E$59),0)</f>
        <v>61939</v>
      </c>
      <c r="F39" s="37">
        <f>ROUND(((H12*2/12)+(C39*10/12*B39)+(D39*B39))*(1+$E$59),0)</f>
        <v>51616</v>
      </c>
      <c r="G39" s="61">
        <f>ROUND(A34*(1+$E$59),0)</f>
        <v>8715</v>
      </c>
      <c r="H39" s="61">
        <f>SUM(F39:G39)</f>
        <v>60331</v>
      </c>
      <c r="I39" s="61">
        <f>E39-SUM(F39:G39)</f>
        <v>1608</v>
      </c>
      <c r="J39" s="61">
        <f>ROUND(IF($E$39-$H$39&gt;0,IF($E$39-$H$39&gt;$G$42*10/36,$G$42*10/36,$E$39-$H$39),0),0)</f>
        <v>1608</v>
      </c>
      <c r="K39" s="62">
        <f>I39-J39</f>
        <v>0</v>
      </c>
    </row>
    <row r="40" spans="1:15" x14ac:dyDescent="0.2">
      <c r="A40" s="101" t="s">
        <v>116</v>
      </c>
      <c r="B40" s="96">
        <f>B28</f>
        <v>0.6</v>
      </c>
      <c r="C40" s="37">
        <f>ROUND(C39+(D39/10*12),0)</f>
        <v>49750</v>
      </c>
      <c r="D40" s="37">
        <f>D28</f>
        <v>0</v>
      </c>
      <c r="E40" s="37">
        <f>ROUND(SUM(C40:D40)*(1+$G$59),0)</f>
        <v>61939</v>
      </c>
      <c r="F40" s="37">
        <f>ROUND(((C40*2/12*B39)+(C40*10/12*B40)+(D40*B40))*(1+$G$59),0)</f>
        <v>39228</v>
      </c>
      <c r="G40" s="61">
        <f>ROUND(A34*(1+$G$59),0)</f>
        <v>8715</v>
      </c>
      <c r="H40" s="61">
        <f>SUM(F40:G40)</f>
        <v>47943</v>
      </c>
      <c r="I40" s="61">
        <f>E40-SUM(F40:G40)</f>
        <v>13996</v>
      </c>
      <c r="J40" s="61">
        <f>ROUND(IF($E$40-$H$40&gt;0,IF($E$40-$H$40&gt;($G$42*22/36-J39),$G$42*22/36-J39,$E$40-$H$40),0),0)</f>
        <v>8475</v>
      </c>
      <c r="K40" s="62">
        <f>I40-J40</f>
        <v>5521</v>
      </c>
      <c r="O40" s="99"/>
    </row>
    <row r="41" spans="1:15" x14ac:dyDescent="0.2">
      <c r="A41" s="101" t="s">
        <v>117</v>
      </c>
      <c r="B41" s="96">
        <f>B29</f>
        <v>0.6</v>
      </c>
      <c r="C41" s="37">
        <f>ROUND(C40+(D40/10*12),0)</f>
        <v>49750</v>
      </c>
      <c r="D41" s="37">
        <f>D29</f>
        <v>0</v>
      </c>
      <c r="E41" s="37">
        <f>ROUND(SUM(C41:D41)*(1+$I$59),0)</f>
        <v>61939</v>
      </c>
      <c r="F41" s="37">
        <f>ROUND(((C41*2/12*B40)+(C41*10/12*B41)+(D41*B41))*(1+$I$59),0)</f>
        <v>37163</v>
      </c>
      <c r="G41" s="61">
        <f>ROUND(A34*(1+$I$59),0)</f>
        <v>8715</v>
      </c>
      <c r="H41" s="61">
        <f>SUM(F41:G41)</f>
        <v>45878</v>
      </c>
      <c r="I41" s="61">
        <f>E41-SUM(F41:G41)</f>
        <v>16061</v>
      </c>
      <c r="J41" s="61">
        <f>ROUND(IF($E$41-$H$41&gt;0,IF($E$41-$H$41&gt;($G$42*34/36-SUM(J39:J40)),$G$42*34/36-SUM(J39:J40),$E$41-$H$41),0),0)</f>
        <v>5500</v>
      </c>
      <c r="K41" s="62">
        <f>I41-J41</f>
        <v>10561</v>
      </c>
      <c r="O41" s="100"/>
    </row>
    <row r="42" spans="1:15" x14ac:dyDescent="0.2">
      <c r="A42" s="101" t="s">
        <v>118</v>
      </c>
      <c r="B42" s="97"/>
      <c r="C42" s="39">
        <f>ROUND((C41+(D41/10*12))*2/12,0)</f>
        <v>8292</v>
      </c>
      <c r="D42" s="63"/>
      <c r="E42" s="39">
        <f>ROUND(SUM(C42:D42)*(1+$K$59),0)</f>
        <v>10324</v>
      </c>
      <c r="F42" s="39">
        <f>ROUND(((C42*B41))*(1+$K$59),0)</f>
        <v>6194</v>
      </c>
      <c r="G42" s="63">
        <f>A35</f>
        <v>16500</v>
      </c>
      <c r="H42" s="63">
        <f>SUM(F42:G42)</f>
        <v>22694</v>
      </c>
      <c r="I42" s="63">
        <f>E42-SUM(F42:G42)</f>
        <v>-12370</v>
      </c>
      <c r="J42" s="63">
        <f>ROUND(IF($E$42-$F$42&gt;0,IF($E$42-$F$42&gt;($G$42*36/36-SUM(J39:J41)),$G$42*36/36-SUM(J39:J41),$E$42-$F$42),0),0)</f>
        <v>917</v>
      </c>
      <c r="K42" s="64">
        <f>E42-F42-J42</f>
        <v>3213</v>
      </c>
      <c r="O42" s="99"/>
    </row>
    <row r="43" spans="1:15" x14ac:dyDescent="0.2">
      <c r="A43" s="53"/>
      <c r="B43" s="96">
        <f>SUM(B39:B41)</f>
        <v>2</v>
      </c>
      <c r="C43" s="41">
        <f t="shared" ref="C43:I43" si="1">SUM(C39:C42)</f>
        <v>157542</v>
      </c>
      <c r="D43" s="41"/>
      <c r="E43" s="41">
        <f t="shared" si="1"/>
        <v>196141</v>
      </c>
      <c r="F43" s="41">
        <f t="shared" si="1"/>
        <v>134201</v>
      </c>
      <c r="G43" s="41">
        <f t="shared" si="1"/>
        <v>42645</v>
      </c>
      <c r="H43" s="41">
        <f t="shared" si="1"/>
        <v>176846</v>
      </c>
      <c r="I43" s="41">
        <f t="shared" si="1"/>
        <v>19295</v>
      </c>
      <c r="J43" s="65">
        <f>SUM(J39:J42)</f>
        <v>16500</v>
      </c>
      <c r="K43" s="62">
        <f>SUM(K39:K42)</f>
        <v>19295</v>
      </c>
    </row>
    <row r="44" spans="1:15" x14ac:dyDescent="0.2">
      <c r="A44" s="42"/>
      <c r="B44" s="43"/>
      <c r="C44" s="43"/>
      <c r="D44" s="43"/>
      <c r="E44" s="43"/>
      <c r="F44" s="43"/>
      <c r="G44" s="43"/>
      <c r="H44" s="43"/>
      <c r="I44" s="43"/>
      <c r="J44" s="43"/>
      <c r="K44" s="66"/>
    </row>
    <row r="45" spans="1:15" x14ac:dyDescent="0.2">
      <c r="A45" s="46" t="s">
        <v>18</v>
      </c>
      <c r="B45" s="47"/>
      <c r="C45" s="48"/>
      <c r="D45" s="48"/>
      <c r="E45" s="48"/>
      <c r="F45" s="48"/>
      <c r="G45" s="48"/>
      <c r="H45" s="48"/>
      <c r="I45" s="48"/>
      <c r="J45" s="48"/>
      <c r="K45" s="49" t="s">
        <v>23</v>
      </c>
    </row>
    <row r="46" spans="1:15" x14ac:dyDescent="0.2">
      <c r="A46" s="67">
        <f>H13/3</f>
        <v>12500</v>
      </c>
      <c r="B46" s="51" t="s">
        <v>11</v>
      </c>
      <c r="C46" s="51"/>
      <c r="D46" s="51"/>
      <c r="E46" s="51"/>
      <c r="F46" s="51"/>
      <c r="G46" s="51"/>
      <c r="H46" s="51"/>
      <c r="I46" s="51"/>
      <c r="J46" s="51"/>
      <c r="K46" s="52" t="s">
        <v>24</v>
      </c>
    </row>
    <row r="47" spans="1:15" x14ac:dyDescent="0.2">
      <c r="A47" s="53"/>
      <c r="B47" s="51"/>
      <c r="C47" s="51"/>
      <c r="D47" s="51"/>
      <c r="E47" s="51"/>
      <c r="F47" s="51"/>
      <c r="G47" s="27" t="s">
        <v>22</v>
      </c>
      <c r="H47" s="51"/>
      <c r="I47" s="51"/>
      <c r="J47" s="51"/>
      <c r="K47" s="57"/>
    </row>
    <row r="48" spans="1:15" ht="22.5" x14ac:dyDescent="0.2">
      <c r="A48" s="54"/>
      <c r="B48" s="29" t="s">
        <v>36</v>
      </c>
      <c r="C48" s="30" t="s">
        <v>19</v>
      </c>
      <c r="D48" s="30" t="s">
        <v>34</v>
      </c>
      <c r="E48" s="30" t="s">
        <v>35</v>
      </c>
      <c r="F48" s="55" t="s">
        <v>21</v>
      </c>
      <c r="G48" s="27" t="s">
        <v>33</v>
      </c>
      <c r="H48" s="51"/>
      <c r="I48" s="56"/>
      <c r="J48" s="56" t="s">
        <v>28</v>
      </c>
      <c r="K48" s="57" t="s">
        <v>30</v>
      </c>
    </row>
    <row r="49" spans="1:11" x14ac:dyDescent="0.2">
      <c r="A49" s="54"/>
      <c r="B49" s="33" t="s">
        <v>37</v>
      </c>
      <c r="C49" s="34" t="s">
        <v>20</v>
      </c>
      <c r="D49" s="34" t="s">
        <v>32</v>
      </c>
      <c r="E49" s="34" t="s">
        <v>23</v>
      </c>
      <c r="F49" s="58" t="s">
        <v>12</v>
      </c>
      <c r="G49" s="35" t="s">
        <v>23</v>
      </c>
      <c r="H49" s="58" t="s">
        <v>14</v>
      </c>
      <c r="I49" s="59" t="s">
        <v>13</v>
      </c>
      <c r="J49" s="59" t="s">
        <v>29</v>
      </c>
      <c r="K49" s="60" t="s">
        <v>29</v>
      </c>
    </row>
    <row r="50" spans="1:11" x14ac:dyDescent="0.2">
      <c r="A50" s="53" t="s">
        <v>115</v>
      </c>
      <c r="B50" s="96">
        <f>B27</f>
        <v>0.8</v>
      </c>
      <c r="C50" s="61">
        <f>H12</f>
        <v>49750</v>
      </c>
      <c r="D50" s="37">
        <f>D27</f>
        <v>0</v>
      </c>
      <c r="E50" s="37">
        <f>ROUND(SUM(C50:D50)*(1+$E$59),0)</f>
        <v>61939</v>
      </c>
      <c r="F50" s="37">
        <f>ROUND(((H12*2/12)+(C50*10/12*B50)+(D50*B50))*(1+$E$59),0)</f>
        <v>51616</v>
      </c>
      <c r="G50" s="61">
        <f>ROUND(A46*(1+$E$59),0)</f>
        <v>15563</v>
      </c>
      <c r="H50" s="61">
        <f>SUM(F50:G50)</f>
        <v>67179</v>
      </c>
      <c r="I50" s="61">
        <f>E50-SUM(F50:G50)</f>
        <v>-5240</v>
      </c>
      <c r="J50" s="61"/>
      <c r="K50" s="62">
        <f>I50-J50</f>
        <v>-5240</v>
      </c>
    </row>
    <row r="51" spans="1:11" x14ac:dyDescent="0.2">
      <c r="A51" s="53" t="s">
        <v>116</v>
      </c>
      <c r="B51" s="96">
        <f>B28</f>
        <v>0.6</v>
      </c>
      <c r="C51" s="37">
        <f>ROUND(C50+(D50/10*12),0)</f>
        <v>49750</v>
      </c>
      <c r="D51" s="37">
        <f>D28</f>
        <v>0</v>
      </c>
      <c r="E51" s="37">
        <f>ROUND(SUM(C51:D51)*(1+$G$59),0)</f>
        <v>61939</v>
      </c>
      <c r="F51" s="37">
        <f>ROUND(((C51*2/12*B50)+(C51*10/12*B51)+(D51*B51))*(1+$G$59),0)</f>
        <v>39228</v>
      </c>
      <c r="G51" s="61">
        <f>ROUND(A46*(1+$G$59),0)</f>
        <v>15563</v>
      </c>
      <c r="H51" s="61">
        <f>SUM(F51:G51)</f>
        <v>54791</v>
      </c>
      <c r="I51" s="61">
        <f>E51-SUM(F51:G51)</f>
        <v>7148</v>
      </c>
      <c r="J51" s="61"/>
      <c r="K51" s="62">
        <f>I51-J51</f>
        <v>7148</v>
      </c>
    </row>
    <row r="52" spans="1:11" x14ac:dyDescent="0.2">
      <c r="A52" s="53" t="s">
        <v>117</v>
      </c>
      <c r="B52" s="96">
        <f>B29</f>
        <v>0.6</v>
      </c>
      <c r="C52" s="37">
        <f>ROUND(C51+(D51/10*12),0)</f>
        <v>49750</v>
      </c>
      <c r="D52" s="37">
        <f>D29</f>
        <v>0</v>
      </c>
      <c r="E52" s="37">
        <f>ROUND(SUM(C52:D52)*(1+$I$59),0)</f>
        <v>61939</v>
      </c>
      <c r="F52" s="37">
        <f>ROUND(((C52*2/12*B51)+(C52*10/12*B52)+(D52*B52))*(1+$I$59),0)</f>
        <v>37163</v>
      </c>
      <c r="G52" s="61">
        <f>ROUND(A46*(1+$I$59),0)</f>
        <v>15563</v>
      </c>
      <c r="H52" s="61">
        <f>SUM(F52:G52)</f>
        <v>52726</v>
      </c>
      <c r="I52" s="61">
        <f>E52-SUM(F52:G52)</f>
        <v>9213</v>
      </c>
      <c r="J52" s="61"/>
      <c r="K52" s="62">
        <f>I52-J52</f>
        <v>9213</v>
      </c>
    </row>
    <row r="53" spans="1:11" x14ac:dyDescent="0.2">
      <c r="A53" s="53" t="s">
        <v>118</v>
      </c>
      <c r="B53" s="97"/>
      <c r="C53" s="39">
        <f>ROUND((C52+(D52/10*12))*2/12,0)</f>
        <v>8292</v>
      </c>
      <c r="D53" s="63"/>
      <c r="E53" s="39">
        <f>ROUND(SUM(C53:D53)*(1+$K$59),0)</f>
        <v>10324</v>
      </c>
      <c r="F53" s="39">
        <f>ROUND(((C53*B52))*(1+$K$59),0)</f>
        <v>6194</v>
      </c>
      <c r="G53" s="68">
        <v>0</v>
      </c>
      <c r="H53" s="63">
        <f>SUM(F53:G53)</f>
        <v>6194</v>
      </c>
      <c r="I53" s="63">
        <f>E53-SUM(F53:G53)</f>
        <v>4130</v>
      </c>
      <c r="J53" s="63"/>
      <c r="K53" s="64">
        <f>E53-F53-J53</f>
        <v>4130</v>
      </c>
    </row>
    <row r="54" spans="1:11" x14ac:dyDescent="0.2">
      <c r="A54" s="53"/>
      <c r="B54" s="96">
        <f>SUM(B50:B52)</f>
        <v>2</v>
      </c>
      <c r="C54" s="41">
        <f t="shared" ref="C54:I54" si="2">SUM(C50:C53)</f>
        <v>157542</v>
      </c>
      <c r="D54" s="41"/>
      <c r="E54" s="41">
        <f t="shared" si="2"/>
        <v>196141</v>
      </c>
      <c r="F54" s="41">
        <f t="shared" si="2"/>
        <v>134201</v>
      </c>
      <c r="G54" s="41">
        <f t="shared" si="2"/>
        <v>46689</v>
      </c>
      <c r="H54" s="41">
        <f t="shared" si="2"/>
        <v>180890</v>
      </c>
      <c r="I54" s="41">
        <f t="shared" si="2"/>
        <v>15251</v>
      </c>
      <c r="J54" s="65">
        <f>SUM(J50:J53)</f>
        <v>0</v>
      </c>
      <c r="K54" s="62">
        <f>SUM(K50:K53)</f>
        <v>15251</v>
      </c>
    </row>
    <row r="55" spans="1:11" x14ac:dyDescent="0.2">
      <c r="A55" s="42"/>
      <c r="B55" s="43"/>
      <c r="C55" s="43"/>
      <c r="D55" s="43"/>
      <c r="E55" s="43"/>
      <c r="F55" s="43"/>
      <c r="G55" s="43"/>
      <c r="H55" s="43"/>
      <c r="I55" s="43"/>
      <c r="J55" s="43"/>
      <c r="K55" s="45"/>
    </row>
    <row r="57" spans="1:11" x14ac:dyDescent="0.2">
      <c r="A57" s="6" t="s">
        <v>97</v>
      </c>
    </row>
    <row r="58" spans="1:11" x14ac:dyDescent="0.2">
      <c r="A58" s="6" t="s">
        <v>15</v>
      </c>
    </row>
    <row r="59" spans="1:11" x14ac:dyDescent="0.2">
      <c r="A59" s="106" t="s">
        <v>27</v>
      </c>
      <c r="B59" s="107"/>
      <c r="C59" s="69"/>
      <c r="D59" s="70" t="s">
        <v>115</v>
      </c>
      <c r="E59" s="78">
        <v>0.245</v>
      </c>
      <c r="F59" s="70" t="s">
        <v>116</v>
      </c>
      <c r="G59" s="78">
        <f>E59</f>
        <v>0.245</v>
      </c>
      <c r="H59" s="70" t="s">
        <v>117</v>
      </c>
      <c r="I59" s="78">
        <v>0.245</v>
      </c>
      <c r="J59" s="70" t="s">
        <v>118</v>
      </c>
      <c r="K59" s="78">
        <v>0.245</v>
      </c>
    </row>
  </sheetData>
  <mergeCells count="3">
    <mergeCell ref="A59:B59"/>
    <mergeCell ref="G2:H2"/>
    <mergeCell ref="F3:H3"/>
  </mergeCells>
  <phoneticPr fontId="2" type="noConversion"/>
  <pageMargins left="0.7" right="0.7" top="0.75" bottom="0.75" header="0.3" footer="0.3"/>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How To</vt:lpstr>
      <vt:lpstr>Calculation</vt:lpstr>
      <vt:lpstr>Calculation!Print_Area</vt:lpstr>
    </vt:vector>
  </TitlesOfParts>
  <Company>University of Toronto @ Mississauga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zammitel</dc:creator>
  <cp:lastModifiedBy>Farzana Reburiano</cp:lastModifiedBy>
  <cp:lastPrinted>2012-10-15T15:06:23Z</cp:lastPrinted>
  <dcterms:created xsi:type="dcterms:W3CDTF">2009-08-18T14:11:00Z</dcterms:created>
  <dcterms:modified xsi:type="dcterms:W3CDTF">2024-08-26T16:20:13Z</dcterms:modified>
</cp:coreProperties>
</file>